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Disk D JJ\Games\Humankind\"/>
    </mc:Choice>
  </mc:AlternateContent>
  <xr:revisionPtr revIDLastSave="0" documentId="13_ncr:1_{B29F6835-998D-4082-9A26-7A2725BA2AB6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Cover" sheetId="6" r:id="rId1"/>
    <sheet name="Units" sheetId="3" r:id="rId2"/>
    <sheet name="Cultures" sheetId="2" r:id="rId3"/>
    <sheet name="Build" sheetId="7" r:id="rId4"/>
    <sheet name="Misc" sheetId="5" r:id="rId5"/>
    <sheet name="BuildEx" sheetId="4" state="hidden" r:id="rId6"/>
  </sheets>
  <definedNames>
    <definedName name="_xlnm._FilterDatabase" localSheetId="5" hidden="1">BuildEx!$A$2:$Y$2</definedName>
    <definedName name="_xlnm._FilterDatabase" localSheetId="2" hidden="1">Cultures!$B$3:$H$64</definedName>
    <definedName name="_xlnm._FilterDatabase" localSheetId="4" hidden="1">Misc!$G$2:$H$62</definedName>
    <definedName name="_xlnm._FilterDatabase" localSheetId="1" hidden="1">Units!$A$3:$AB$121</definedName>
    <definedName name="Aff_1_Ancient">Build!$D$45:$D$65</definedName>
    <definedName name="Aff_2_Classical">Build!$G$45:$G$65</definedName>
    <definedName name="Aff_3_Medieval">Build!$J$45:$J$65</definedName>
    <definedName name="Aff_4_Early_Modern">Build!$M$45:$M$65</definedName>
    <definedName name="Aff_5_Industrial">Build!$P$45:$P$65</definedName>
    <definedName name="Aff_6_Contemporary">Build!$S$45:$S$65</definedName>
    <definedName name="Affinity">Misc!$D$3:$D$9</definedName>
    <definedName name="CultureListAffinities">Cultures!$C$4:$C$63</definedName>
    <definedName name="CultureListAncient">Cultures!$D$4:$D$13</definedName>
    <definedName name="CultureListClassical">Cultures!$D$14:$D$23</definedName>
    <definedName name="CultureListContemporary">Cultures!$D$54:$D$63</definedName>
    <definedName name="CultureListEarlyModern">Cultures!$D$34:$D$43</definedName>
    <definedName name="CultureListEras">Cultures!$B$4:$B$63</definedName>
    <definedName name="CultureListIndustrial">Cultures!$D$44:$D$53</definedName>
    <definedName name="CultureListMedieval">Cultures!$D$24:$D$33</definedName>
    <definedName name="CultureListNameAffinities">Misc!$G$3:$H$62</definedName>
    <definedName name="CultureListNameBonus">Cultures!$D$4:$G$63</definedName>
    <definedName name="CultureListNames">Cultures!$D$4:$D$64</definedName>
    <definedName name="Era">Misc!$B$3:$B$9</definedName>
    <definedName name="Fam_1_Ancient">Build!$E$45:$E$65</definedName>
    <definedName name="Fam_2_Classical">Build!$H$45:$H$65</definedName>
    <definedName name="Fam_3_Medieval">Build!$K$45:$K$65</definedName>
    <definedName name="Fam_4_Early_Modern">Build!$N$45:$N$65</definedName>
    <definedName name="Fam_5_Industrial">Build!$Q$45:$Q$65</definedName>
    <definedName name="Fam_6_Contemporary">Build!$T$45:$T$65</definedName>
    <definedName name="My_0_Nomadic">Build!$B$21:$BQ$21</definedName>
    <definedName name="My_1_Ancient">Build!$B$22:$BQ$22</definedName>
    <definedName name="My_2_Classical">Build!$B$23:$BQ$23</definedName>
    <definedName name="My_3_Medieval">Build!$B$24:$BQ$24</definedName>
    <definedName name="My_4_Early_Modern">Build!$B$25:$BQ$25</definedName>
    <definedName name="My_5_Industrial">Build!$B$26:$BQ$26</definedName>
    <definedName name="My_6_Contemporary">Build!$B$27:$BQ$27</definedName>
    <definedName name="MyBuild">Build!$C$13:$BQ$19</definedName>
    <definedName name="UnitCulture">Units!$B$4:$B$120</definedName>
    <definedName name="UnitListClasses">Misc!$J$3:$J$22</definedName>
    <definedName name="UnitListCultureName">Units!$B$4:$C$120</definedName>
    <definedName name="UnitListMainClass">Units!$H$4:$H$120</definedName>
    <definedName name="UnitListMoveType">Misc!$O$3:$O$5</definedName>
    <definedName name="UnitListNameToStats">Units!$C$4:$O$121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27" i="7" l="1"/>
  <c r="BP26" i="7"/>
  <c r="BP25" i="7"/>
  <c r="BP24" i="7"/>
  <c r="BP23" i="7"/>
  <c r="BP22" i="7"/>
  <c r="BP21" i="7"/>
  <c r="BP11" i="7"/>
  <c r="BP2" i="7"/>
  <c r="BM11" i="7" l="1"/>
  <c r="B18" i="6"/>
  <c r="BL19" i="7"/>
  <c r="BL18" i="7"/>
  <c r="BL17" i="7"/>
  <c r="BL16" i="7"/>
  <c r="BL15" i="7"/>
  <c r="BL14" i="7"/>
  <c r="BM27" i="7"/>
  <c r="BK27" i="7"/>
  <c r="BL27" i="7" s="1"/>
  <c r="BM26" i="7"/>
  <c r="BK26" i="7"/>
  <c r="BL26" i="7" s="1"/>
  <c r="BM25" i="7"/>
  <c r="BK25" i="7"/>
  <c r="BL25" i="7" s="1"/>
  <c r="BM24" i="7"/>
  <c r="BK24" i="7"/>
  <c r="BL24" i="7" s="1"/>
  <c r="BM23" i="7"/>
  <c r="BK23" i="7"/>
  <c r="BL23" i="7" s="1"/>
  <c r="BM22" i="7"/>
  <c r="BK22" i="7"/>
  <c r="BL22" i="7" s="1"/>
  <c r="BM21" i="7"/>
  <c r="BK21" i="7"/>
  <c r="BJ11" i="7"/>
  <c r="BI19" i="7"/>
  <c r="BI18" i="7"/>
  <c r="BI17" i="7"/>
  <c r="BI16" i="7"/>
  <c r="BI15" i="7"/>
  <c r="BI14" i="7"/>
  <c r="BG11" i="7"/>
  <c r="BJ27" i="7"/>
  <c r="BH27" i="7"/>
  <c r="BI27" i="7" s="1"/>
  <c r="BJ26" i="7"/>
  <c r="BH26" i="7"/>
  <c r="BI26" i="7" s="1"/>
  <c r="BJ25" i="7"/>
  <c r="BH25" i="7"/>
  <c r="BI25" i="7" s="1"/>
  <c r="BJ24" i="7"/>
  <c r="BH24" i="7"/>
  <c r="BI24" i="7" s="1"/>
  <c r="BJ23" i="7"/>
  <c r="BH23" i="7"/>
  <c r="BI23" i="7" s="1"/>
  <c r="BJ22" i="7"/>
  <c r="BH22" i="7"/>
  <c r="BI22" i="7" s="1"/>
  <c r="BJ21" i="7"/>
  <c r="BH21" i="7"/>
  <c r="BF19" i="7"/>
  <c r="BF18" i="7"/>
  <c r="BF17" i="7"/>
  <c r="BF16" i="7"/>
  <c r="BF15" i="7"/>
  <c r="BF14" i="7"/>
  <c r="BG27" i="7"/>
  <c r="BE27" i="7"/>
  <c r="BF27" i="7" s="1"/>
  <c r="BG26" i="7"/>
  <c r="BE26" i="7"/>
  <c r="BF26" i="7" s="1"/>
  <c r="BG25" i="7"/>
  <c r="BE25" i="7"/>
  <c r="BF25" i="7" s="1"/>
  <c r="BG24" i="7"/>
  <c r="BE24" i="7"/>
  <c r="BF24" i="7" s="1"/>
  <c r="BG23" i="7"/>
  <c r="BE23" i="7"/>
  <c r="BF23" i="7" s="1"/>
  <c r="BG22" i="7"/>
  <c r="BE22" i="7"/>
  <c r="BF22" i="7" s="1"/>
  <c r="BG21" i="7"/>
  <c r="BE21" i="7"/>
  <c r="G6" i="6" l="1"/>
  <c r="P4" i="6"/>
  <c r="S43" i="2"/>
  <c r="T43" i="2"/>
  <c r="U43" i="2"/>
  <c r="V43" i="2"/>
  <c r="W43" i="2"/>
  <c r="X43" i="2"/>
  <c r="R43" i="2"/>
  <c r="Y38" i="2"/>
  <c r="Y41" i="2"/>
  <c r="Y36" i="2"/>
  <c r="Y34" i="2"/>
  <c r="Y32" i="2"/>
  <c r="Y30" i="2"/>
  <c r="S42" i="2"/>
  <c r="S41" i="2"/>
  <c r="S38" i="2"/>
  <c r="S36" i="2"/>
  <c r="S34" i="2"/>
  <c r="S32" i="2"/>
  <c r="S30" i="2"/>
  <c r="R41" i="2"/>
  <c r="R39" i="2"/>
  <c r="R38" i="2"/>
  <c r="R36" i="2"/>
  <c r="R34" i="2"/>
  <c r="R32" i="2"/>
  <c r="R30" i="2"/>
  <c r="BD11" i="7"/>
  <c r="BD27" i="7"/>
  <c r="BB27" i="7"/>
  <c r="BC27" i="7" s="1"/>
  <c r="BD26" i="7"/>
  <c r="BB26" i="7"/>
  <c r="BC26" i="7" s="1"/>
  <c r="BD25" i="7"/>
  <c r="BB25" i="7"/>
  <c r="BC25" i="7" s="1"/>
  <c r="BD24" i="7"/>
  <c r="BB24" i="7"/>
  <c r="BC24" i="7" s="1"/>
  <c r="BD23" i="7"/>
  <c r="BB23" i="7"/>
  <c r="BC23" i="7" s="1"/>
  <c r="BD22" i="7"/>
  <c r="BB22" i="7"/>
  <c r="BC22" i="7" s="1"/>
  <c r="BD21" i="7"/>
  <c r="BB21" i="7"/>
  <c r="BA27" i="7"/>
  <c r="BA26" i="7"/>
  <c r="BA25" i="7"/>
  <c r="BA24" i="7"/>
  <c r="BA23" i="7"/>
  <c r="BA22" i="7"/>
  <c r="BA21" i="7"/>
  <c r="AX27" i="7"/>
  <c r="AX26" i="7"/>
  <c r="AX25" i="7"/>
  <c r="AX24" i="7"/>
  <c r="AX23" i="7"/>
  <c r="AX22" i="7"/>
  <c r="AX21" i="7"/>
  <c r="AU27" i="7"/>
  <c r="AU26" i="7"/>
  <c r="AU25" i="7"/>
  <c r="AU24" i="7"/>
  <c r="AU23" i="7"/>
  <c r="AU22" i="7"/>
  <c r="AU21" i="7"/>
  <c r="AR27" i="7"/>
  <c r="AR26" i="7"/>
  <c r="AR25" i="7"/>
  <c r="AR24" i="7"/>
  <c r="AR23" i="7"/>
  <c r="AR22" i="7"/>
  <c r="AR21" i="7"/>
  <c r="AO27" i="7"/>
  <c r="AO26" i="7"/>
  <c r="AO25" i="7"/>
  <c r="AO24" i="7"/>
  <c r="AO23" i="7"/>
  <c r="AO22" i="7"/>
  <c r="AO21" i="7"/>
  <c r="AL27" i="7"/>
  <c r="AL26" i="7"/>
  <c r="AL25" i="7"/>
  <c r="AL24" i="7"/>
  <c r="AL23" i="7"/>
  <c r="AL22" i="7"/>
  <c r="AL21" i="7"/>
  <c r="AI27" i="7"/>
  <c r="AI26" i="7"/>
  <c r="AI25" i="7"/>
  <c r="AI24" i="7"/>
  <c r="AI23" i="7"/>
  <c r="AI22" i="7"/>
  <c r="AI21" i="7"/>
  <c r="AF27" i="7"/>
  <c r="AF26" i="7"/>
  <c r="AF25" i="7"/>
  <c r="AF24" i="7"/>
  <c r="AF23" i="7"/>
  <c r="AF22" i="7"/>
  <c r="AF21" i="7"/>
  <c r="AC27" i="7"/>
  <c r="AC26" i="7"/>
  <c r="AC25" i="7"/>
  <c r="AC24" i="7"/>
  <c r="AC23" i="7"/>
  <c r="AC22" i="7"/>
  <c r="AC21" i="7"/>
  <c r="Z27" i="7"/>
  <c r="Z26" i="7"/>
  <c r="Z25" i="7"/>
  <c r="Z24" i="7"/>
  <c r="Z23" i="7"/>
  <c r="Z22" i="7"/>
  <c r="Z21" i="7"/>
  <c r="W27" i="7"/>
  <c r="W26" i="7"/>
  <c r="W25" i="7"/>
  <c r="W24" i="7"/>
  <c r="W23" i="7"/>
  <c r="W22" i="7"/>
  <c r="W21" i="7"/>
  <c r="T27" i="7"/>
  <c r="T26" i="7"/>
  <c r="T25" i="7"/>
  <c r="T24" i="7"/>
  <c r="T23" i="7"/>
  <c r="T22" i="7"/>
  <c r="T21" i="7"/>
  <c r="Q27" i="7"/>
  <c r="Q26" i="7"/>
  <c r="Q25" i="7"/>
  <c r="Q24" i="7"/>
  <c r="Q23" i="7"/>
  <c r="Q22" i="7"/>
  <c r="Q21" i="7"/>
  <c r="N27" i="7"/>
  <c r="N26" i="7"/>
  <c r="N25" i="7"/>
  <c r="N24" i="7"/>
  <c r="N23" i="7"/>
  <c r="N22" i="7"/>
  <c r="N21" i="7"/>
  <c r="K27" i="7"/>
  <c r="K26" i="7"/>
  <c r="K25" i="7"/>
  <c r="K24" i="7"/>
  <c r="K23" i="7"/>
  <c r="K22" i="7"/>
  <c r="K21" i="7"/>
  <c r="H27" i="7"/>
  <c r="H26" i="7"/>
  <c r="H25" i="7"/>
  <c r="H24" i="7"/>
  <c r="H23" i="7"/>
  <c r="H22" i="7"/>
  <c r="H21" i="7"/>
  <c r="E23" i="7"/>
  <c r="E24" i="7"/>
  <c r="E25" i="7"/>
  <c r="E26" i="7"/>
  <c r="E27" i="7"/>
  <c r="E22" i="7"/>
  <c r="BA11" i="7"/>
  <c r="AY27" i="7"/>
  <c r="AZ27" i="7" s="1"/>
  <c r="AY26" i="7"/>
  <c r="AZ26" i="7" s="1"/>
  <c r="AY25" i="7"/>
  <c r="AZ25" i="7" s="1"/>
  <c r="AY24" i="7"/>
  <c r="AZ24" i="7" s="1"/>
  <c r="AY23" i="7"/>
  <c r="AZ23" i="7" s="1"/>
  <c r="AY22" i="7"/>
  <c r="AZ22" i="7" s="1"/>
  <c r="AY21" i="7"/>
  <c r="AX11" i="7"/>
  <c r="M124" i="2"/>
  <c r="M123" i="2"/>
  <c r="M122" i="2"/>
  <c r="M121" i="2"/>
  <c r="M120" i="2"/>
  <c r="M119" i="2"/>
  <c r="M118" i="2"/>
  <c r="M114" i="2"/>
  <c r="M113" i="2"/>
  <c r="M112" i="2"/>
  <c r="M111" i="2"/>
  <c r="M110" i="2"/>
  <c r="M109" i="2"/>
  <c r="M108" i="2"/>
  <c r="M104" i="2"/>
  <c r="M103" i="2"/>
  <c r="M102" i="2"/>
  <c r="M101" i="2"/>
  <c r="M100" i="2"/>
  <c r="M99" i="2"/>
  <c r="M98" i="2"/>
  <c r="M94" i="2"/>
  <c r="M93" i="2"/>
  <c r="M92" i="2"/>
  <c r="M91" i="2"/>
  <c r="M90" i="2"/>
  <c r="M89" i="2"/>
  <c r="M88" i="2"/>
  <c r="M84" i="2"/>
  <c r="M83" i="2"/>
  <c r="M82" i="2"/>
  <c r="M81" i="2"/>
  <c r="M80" i="2"/>
  <c r="M79" i="2"/>
  <c r="M78" i="2"/>
  <c r="M69" i="2"/>
  <c r="M70" i="2"/>
  <c r="M71" i="2"/>
  <c r="M72" i="2"/>
  <c r="M73" i="2"/>
  <c r="M74" i="2"/>
  <c r="M68" i="2"/>
  <c r="AU11" i="7"/>
  <c r="AV27" i="7"/>
  <c r="AW27" i="7" s="1"/>
  <c r="AV26" i="7"/>
  <c r="AW26" i="7" s="1"/>
  <c r="AV25" i="7"/>
  <c r="AW25" i="7" s="1"/>
  <c r="AV24" i="7"/>
  <c r="AW24" i="7" s="1"/>
  <c r="AV23" i="7"/>
  <c r="AW23" i="7" s="1"/>
  <c r="AV22" i="7"/>
  <c r="AW22" i="7" s="1"/>
  <c r="AV21" i="7"/>
  <c r="AS27" i="7"/>
  <c r="AT27" i="7" s="1"/>
  <c r="AS26" i="7"/>
  <c r="AT26" i="7" s="1"/>
  <c r="AS25" i="7"/>
  <c r="AT25" i="7" s="1"/>
  <c r="AS24" i="7"/>
  <c r="AT24" i="7" s="1"/>
  <c r="AS23" i="7"/>
  <c r="AT23" i="7" s="1"/>
  <c r="AS22" i="7"/>
  <c r="AT22" i="7" s="1"/>
  <c r="AS21" i="7"/>
  <c r="AP27" i="7"/>
  <c r="AQ27" i="7" s="1"/>
  <c r="AP26" i="7"/>
  <c r="AQ26" i="7" s="1"/>
  <c r="AP25" i="7"/>
  <c r="AQ25" i="7" s="1"/>
  <c r="AP24" i="7"/>
  <c r="AQ24" i="7" s="1"/>
  <c r="AP23" i="7"/>
  <c r="AQ23" i="7" s="1"/>
  <c r="AP22" i="7"/>
  <c r="AQ22" i="7" s="1"/>
  <c r="AP21" i="7"/>
  <c r="AM27" i="7"/>
  <c r="AN27" i="7" s="1"/>
  <c r="AM26" i="7"/>
  <c r="AN26" i="7" s="1"/>
  <c r="AM25" i="7"/>
  <c r="AN25" i="7" s="1"/>
  <c r="AM24" i="7"/>
  <c r="AN24" i="7" s="1"/>
  <c r="AM23" i="7"/>
  <c r="AN23" i="7" s="1"/>
  <c r="AM22" i="7"/>
  <c r="AN22" i="7" s="1"/>
  <c r="AM21" i="7"/>
  <c r="AJ27" i="7"/>
  <c r="AK27" i="7" s="1"/>
  <c r="AJ26" i="7"/>
  <c r="AK26" i="7" s="1"/>
  <c r="AJ25" i="7"/>
  <c r="AK25" i="7" s="1"/>
  <c r="AJ24" i="7"/>
  <c r="AK24" i="7" s="1"/>
  <c r="AJ23" i="7"/>
  <c r="AK23" i="7" s="1"/>
  <c r="AJ22" i="7"/>
  <c r="AK22" i="7" s="1"/>
  <c r="AJ21" i="7"/>
  <c r="AG27" i="7"/>
  <c r="AH27" i="7" s="1"/>
  <c r="AG26" i="7"/>
  <c r="AH26" i="7" s="1"/>
  <c r="AG25" i="7"/>
  <c r="AH25" i="7" s="1"/>
  <c r="AG24" i="7"/>
  <c r="AH24" i="7" s="1"/>
  <c r="AG23" i="7"/>
  <c r="AH23" i="7" s="1"/>
  <c r="AG22" i="7"/>
  <c r="AH22" i="7" s="1"/>
  <c r="AG21" i="7"/>
  <c r="AD27" i="7"/>
  <c r="AE27" i="7" s="1"/>
  <c r="AD26" i="7"/>
  <c r="AE26" i="7" s="1"/>
  <c r="AD25" i="7"/>
  <c r="AE25" i="7" s="1"/>
  <c r="AD24" i="7"/>
  <c r="AE24" i="7" s="1"/>
  <c r="AD23" i="7"/>
  <c r="AE23" i="7" s="1"/>
  <c r="AD22" i="7"/>
  <c r="AE22" i="7" s="1"/>
  <c r="AD21" i="7"/>
  <c r="AA27" i="7"/>
  <c r="AB27" i="7" s="1"/>
  <c r="AA26" i="7"/>
  <c r="AB26" i="7" s="1"/>
  <c r="AA25" i="7"/>
  <c r="AB25" i="7" s="1"/>
  <c r="AA24" i="7"/>
  <c r="AB24" i="7" s="1"/>
  <c r="AA23" i="7"/>
  <c r="AB23" i="7" s="1"/>
  <c r="AA22" i="7"/>
  <c r="AB22" i="7" s="1"/>
  <c r="AA21" i="7"/>
  <c r="X27" i="7"/>
  <c r="Y27" i="7" s="1"/>
  <c r="X26" i="7"/>
  <c r="Y26" i="7" s="1"/>
  <c r="X25" i="7"/>
  <c r="Y25" i="7" s="1"/>
  <c r="X24" i="7"/>
  <c r="Y24" i="7" s="1"/>
  <c r="X23" i="7"/>
  <c r="Y23" i="7" s="1"/>
  <c r="X22" i="7"/>
  <c r="Y22" i="7" s="1"/>
  <c r="X21" i="7"/>
  <c r="U27" i="7"/>
  <c r="V27" i="7" s="1"/>
  <c r="U26" i="7"/>
  <c r="V26" i="7" s="1"/>
  <c r="U25" i="7"/>
  <c r="V25" i="7" s="1"/>
  <c r="U24" i="7"/>
  <c r="V24" i="7" s="1"/>
  <c r="U23" i="7"/>
  <c r="V23" i="7" s="1"/>
  <c r="U22" i="7"/>
  <c r="V22" i="7" s="1"/>
  <c r="U21" i="7"/>
  <c r="R27" i="7"/>
  <c r="S27" i="7" s="1"/>
  <c r="R26" i="7"/>
  <c r="S26" i="7" s="1"/>
  <c r="R25" i="7"/>
  <c r="S25" i="7" s="1"/>
  <c r="R24" i="7"/>
  <c r="S24" i="7" s="1"/>
  <c r="R23" i="7"/>
  <c r="S23" i="7" s="1"/>
  <c r="R22" i="7"/>
  <c r="S22" i="7" s="1"/>
  <c r="R21" i="7"/>
  <c r="O27" i="7"/>
  <c r="P27" i="7" s="1"/>
  <c r="O26" i="7"/>
  <c r="P26" i="7" s="1"/>
  <c r="O25" i="7"/>
  <c r="P25" i="7" s="1"/>
  <c r="O24" i="7"/>
  <c r="P24" i="7" s="1"/>
  <c r="O23" i="7"/>
  <c r="P23" i="7" s="1"/>
  <c r="O22" i="7"/>
  <c r="P22" i="7" s="1"/>
  <c r="O21" i="7"/>
  <c r="L27" i="7"/>
  <c r="M27" i="7" s="1"/>
  <c r="L26" i="7"/>
  <c r="M26" i="7" s="1"/>
  <c r="L25" i="7"/>
  <c r="M25" i="7" s="1"/>
  <c r="L24" i="7"/>
  <c r="M24" i="7" s="1"/>
  <c r="L23" i="7"/>
  <c r="M23" i="7" s="1"/>
  <c r="L22" i="7"/>
  <c r="M22" i="7" s="1"/>
  <c r="L21" i="7"/>
  <c r="I27" i="7"/>
  <c r="J27" i="7" s="1"/>
  <c r="I26" i="7"/>
  <c r="J26" i="7" s="1"/>
  <c r="I25" i="7"/>
  <c r="J25" i="7" s="1"/>
  <c r="I24" i="7"/>
  <c r="J24" i="7" s="1"/>
  <c r="I23" i="7"/>
  <c r="J23" i="7" s="1"/>
  <c r="I22" i="7"/>
  <c r="J22" i="7" s="1"/>
  <c r="I21" i="7"/>
  <c r="F27" i="7"/>
  <c r="G27" i="7" s="1"/>
  <c r="F26" i="7"/>
  <c r="G26" i="7" s="1"/>
  <c r="F25" i="7"/>
  <c r="G25" i="7" s="1"/>
  <c r="F24" i="7"/>
  <c r="G24" i="7" s="1"/>
  <c r="F23" i="7"/>
  <c r="G23" i="7" s="1"/>
  <c r="F22" i="7"/>
  <c r="G22" i="7" s="1"/>
  <c r="F21" i="7"/>
  <c r="C22" i="7"/>
  <c r="D22" i="7" s="1"/>
  <c r="C27" i="7"/>
  <c r="D27" i="7" s="1"/>
  <c r="C26" i="7"/>
  <c r="D26" i="7" s="1"/>
  <c r="C25" i="7"/>
  <c r="D25" i="7" s="1"/>
  <c r="C24" i="7"/>
  <c r="D24" i="7" s="1"/>
  <c r="C23" i="7"/>
  <c r="D23" i="7" s="1"/>
  <c r="C21" i="7"/>
  <c r="W68" i="7"/>
  <c r="T68" i="7"/>
  <c r="Q68" i="7"/>
  <c r="N68" i="7"/>
  <c r="K68" i="7"/>
  <c r="H68" i="7"/>
  <c r="E68" i="7"/>
  <c r="B70" i="7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W39" i="7"/>
  <c r="BW38" i="7"/>
  <c r="BW37" i="7"/>
  <c r="BW36" i="7"/>
  <c r="BW35" i="7"/>
  <c r="BW34" i="7"/>
  <c r="BW33" i="7"/>
  <c r="BW30" i="7"/>
  <c r="BW29" i="7"/>
  <c r="BW28" i="7"/>
  <c r="BW27" i="7"/>
  <c r="BW26" i="7"/>
  <c r="BW25" i="7"/>
  <c r="BW24" i="7"/>
  <c r="BW16" i="7"/>
  <c r="BW17" i="7"/>
  <c r="BW18" i="7"/>
  <c r="BW19" i="7"/>
  <c r="BW20" i="7"/>
  <c r="BW21" i="7"/>
  <c r="BW15" i="7"/>
  <c r="F45" i="7" a="1"/>
  <c r="O45" i="7" a="1"/>
  <c r="L45" i="7" a="1"/>
  <c r="R45" i="7" a="1"/>
  <c r="I45" i="7" a="1"/>
  <c r="Y43" i="2" l="1"/>
  <c r="R45" i="7"/>
  <c r="O45" i="7"/>
  <c r="L45" i="7"/>
  <c r="I45" i="7"/>
  <c r="F45" i="7"/>
  <c r="C45" i="7" a="1"/>
  <c r="C45" i="7" l="1"/>
  <c r="B46" i="7" l="1"/>
  <c r="AR11" i="7"/>
  <c r="AO11" i="7"/>
  <c r="AL11" i="7"/>
  <c r="AI11" i="7"/>
  <c r="AF11" i="7"/>
  <c r="AC11" i="7"/>
  <c r="Z11" i="7"/>
  <c r="W11" i="7"/>
  <c r="T11" i="7"/>
  <c r="Q11" i="7"/>
  <c r="N11" i="7"/>
  <c r="K11" i="7"/>
  <c r="H11" i="7"/>
  <c r="E11" i="7"/>
  <c r="BT13" i="7"/>
  <c r="L46" i="7" a="1"/>
  <c r="R46" i="7" a="1"/>
  <c r="O46" i="7" a="1"/>
  <c r="I46" i="7" a="1"/>
  <c r="C46" i="7" a="1"/>
  <c r="F46" i="7" a="1"/>
  <c r="R46" i="7" l="1"/>
  <c r="O46" i="7"/>
  <c r="L46" i="7"/>
  <c r="I46" i="7"/>
  <c r="F46" i="7"/>
  <c r="C46" i="7"/>
  <c r="B47" i="7"/>
  <c r="BU11" i="7"/>
  <c r="BT11" i="7"/>
  <c r="R47" i="7" a="1"/>
  <c r="O47" i="7" a="1"/>
  <c r="F47" i="7" a="1"/>
  <c r="C47" i="7" a="1"/>
  <c r="L47" i="7" a="1"/>
  <c r="I47" i="7" a="1"/>
  <c r="R47" i="7" l="1"/>
  <c r="O47" i="7"/>
  <c r="L47" i="7"/>
  <c r="I47" i="7"/>
  <c r="F47" i="7"/>
  <c r="C47" i="7"/>
  <c r="B48" i="7"/>
  <c r="E21" i="7"/>
  <c r="N56" i="2"/>
  <c r="O56" i="2" s="1"/>
  <c r="N57" i="2"/>
  <c r="O57" i="2" s="1"/>
  <c r="N58" i="2"/>
  <c r="O58" i="2" s="1"/>
  <c r="N59" i="2"/>
  <c r="O59" i="2" s="1"/>
  <c r="N60" i="2"/>
  <c r="O60" i="2" s="1"/>
  <c r="N61" i="2"/>
  <c r="O61" i="2" s="1"/>
  <c r="AT19" i="7" s="1"/>
  <c r="N62" i="2"/>
  <c r="O62" i="2" s="1"/>
  <c r="M19" i="7" s="1"/>
  <c r="N63" i="2"/>
  <c r="O63" i="2" s="1"/>
  <c r="N64" i="2"/>
  <c r="O64" i="2" s="1"/>
  <c r="N41" i="2"/>
  <c r="O41" i="2" s="1"/>
  <c r="N42" i="2"/>
  <c r="O42" i="2" s="1"/>
  <c r="N43" i="2"/>
  <c r="O43" i="2" s="1"/>
  <c r="N44" i="2"/>
  <c r="O44" i="2" s="1"/>
  <c r="N45" i="2"/>
  <c r="O45" i="2" s="1"/>
  <c r="AW18" i="7" s="1"/>
  <c r="N46" i="2"/>
  <c r="O46" i="2" s="1"/>
  <c r="N47" i="2"/>
  <c r="O47" i="2" s="1"/>
  <c r="N48" i="2"/>
  <c r="O48" i="2" s="1"/>
  <c r="N49" i="2"/>
  <c r="O49" i="2" s="1"/>
  <c r="BC18" i="7" s="1"/>
  <c r="N50" i="2"/>
  <c r="O50" i="2" s="1"/>
  <c r="N51" i="2"/>
  <c r="O51" i="2" s="1"/>
  <c r="N52" i="2"/>
  <c r="O52" i="2" s="1"/>
  <c r="N53" i="2"/>
  <c r="O53" i="2" s="1"/>
  <c r="N54" i="2"/>
  <c r="O54" i="2" s="1"/>
  <c r="Y19" i="7" s="1"/>
  <c r="N55" i="2"/>
  <c r="O55" i="2" s="1"/>
  <c r="N19" i="2"/>
  <c r="O19" i="2" s="1"/>
  <c r="N20" i="2"/>
  <c r="O20" i="2" s="1"/>
  <c r="N21" i="2"/>
  <c r="O21" i="2" s="1"/>
  <c r="N22" i="2"/>
  <c r="O22" i="2" s="1"/>
  <c r="N23" i="2"/>
  <c r="O23" i="2" s="1"/>
  <c r="N24" i="2"/>
  <c r="O24" i="2" s="1"/>
  <c r="N25" i="2"/>
  <c r="O25" i="2" s="1"/>
  <c r="N26" i="2"/>
  <c r="O26" i="2" s="1"/>
  <c r="N27" i="2"/>
  <c r="O27" i="2" s="1"/>
  <c r="N28" i="2"/>
  <c r="O28" i="2" s="1"/>
  <c r="N29" i="2"/>
  <c r="O29" i="2" s="1"/>
  <c r="N30" i="2"/>
  <c r="O30" i="2" s="1"/>
  <c r="N31" i="2"/>
  <c r="O31" i="2" s="1"/>
  <c r="AT16" i="7" s="1"/>
  <c r="N32" i="2"/>
  <c r="O32" i="2" s="1"/>
  <c r="N33" i="2"/>
  <c r="O33" i="2" s="1"/>
  <c r="N34" i="2"/>
  <c r="O34" i="2" s="1"/>
  <c r="AW17" i="7" s="1"/>
  <c r="N35" i="2"/>
  <c r="O35" i="2" s="1"/>
  <c r="N36" i="2"/>
  <c r="O36" i="2" s="1"/>
  <c r="N37" i="2"/>
  <c r="O37" i="2" s="1"/>
  <c r="N38" i="2"/>
  <c r="O38" i="2" s="1"/>
  <c r="N39" i="2"/>
  <c r="O39" i="2" s="1"/>
  <c r="N40" i="2"/>
  <c r="O40" i="2" s="1"/>
  <c r="N4" i="2"/>
  <c r="O4" i="2" s="1"/>
  <c r="N5" i="2"/>
  <c r="O5" i="2" s="1"/>
  <c r="N6" i="2"/>
  <c r="O6" i="2" s="1"/>
  <c r="N7" i="2"/>
  <c r="O7" i="2" s="1"/>
  <c r="N8" i="2"/>
  <c r="O8" i="2" s="1"/>
  <c r="N9" i="2"/>
  <c r="O9" i="2" s="1"/>
  <c r="N10" i="2"/>
  <c r="O10" i="2" s="1"/>
  <c r="AW14" i="7" s="1"/>
  <c r="N11" i="2"/>
  <c r="O11" i="2" s="1"/>
  <c r="N12" i="2"/>
  <c r="O12" i="2" s="1"/>
  <c r="N13" i="2"/>
  <c r="O13" i="2" s="1"/>
  <c r="AZ14" i="7" s="1"/>
  <c r="N14" i="2"/>
  <c r="O14" i="2" s="1"/>
  <c r="N15" i="2"/>
  <c r="O15" i="2" s="1"/>
  <c r="BC15" i="7" s="1"/>
  <c r="N16" i="2"/>
  <c r="O16" i="2" s="1"/>
  <c r="N17" i="2"/>
  <c r="O17" i="2" s="1"/>
  <c r="N18" i="2"/>
  <c r="O18" i="2" s="1"/>
  <c r="N3" i="2"/>
  <c r="L48" i="7" a="1"/>
  <c r="N48" i="7" a="1"/>
  <c r="E48" i="7" a="1"/>
  <c r="O48" i="7" a="1"/>
  <c r="I48" i="7" a="1"/>
  <c r="C48" i="7" a="1"/>
  <c r="F48" i="7" a="1"/>
  <c r="D48" i="7" a="1"/>
  <c r="E47" i="7" a="1"/>
  <c r="K48" i="7" a="1"/>
  <c r="T48" i="7" a="1"/>
  <c r="Q48" i="7" a="1"/>
  <c r="R48" i="7" a="1"/>
  <c r="H48" i="7" a="1"/>
  <c r="AT18" i="7" l="1"/>
  <c r="J18" i="7"/>
  <c r="AT17" i="7"/>
  <c r="AT14" i="7"/>
  <c r="Y14" i="7"/>
  <c r="AB14" i="7"/>
  <c r="AN14" i="7"/>
  <c r="AQ18" i="7"/>
  <c r="AH18" i="7"/>
  <c r="AZ18" i="7"/>
  <c r="AE18" i="7"/>
  <c r="AK19" i="7"/>
  <c r="D19" i="7"/>
  <c r="G18" i="7"/>
  <c r="V18" i="7"/>
  <c r="V14" i="7"/>
  <c r="AQ15" i="7"/>
  <c r="BC14" i="7"/>
  <c r="AH14" i="7"/>
  <c r="S16" i="7"/>
  <c r="AK15" i="7"/>
  <c r="AZ17" i="7"/>
  <c r="J17" i="7"/>
  <c r="AQ17" i="7"/>
  <c r="AH19" i="7"/>
  <c r="AT15" i="7"/>
  <c r="S15" i="7"/>
  <c r="D15" i="7"/>
  <c r="J15" i="7"/>
  <c r="M15" i="7"/>
  <c r="G15" i="7"/>
  <c r="AN15" i="7"/>
  <c r="S14" i="7"/>
  <c r="P14" i="7"/>
  <c r="J14" i="7"/>
  <c r="G14" i="7"/>
  <c r="BC17" i="7"/>
  <c r="V17" i="7"/>
  <c r="AK17" i="7"/>
  <c r="AZ16" i="7"/>
  <c r="V16" i="7"/>
  <c r="D16" i="7"/>
  <c r="AB16" i="7"/>
  <c r="Y16" i="7"/>
  <c r="AE16" i="7"/>
  <c r="AE15" i="7"/>
  <c r="AB15" i="7"/>
  <c r="AK18" i="7"/>
  <c r="AN18" i="7"/>
  <c r="AN19" i="7"/>
  <c r="BC16" i="7"/>
  <c r="AH16" i="7"/>
  <c r="J16" i="7"/>
  <c r="AK16" i="7"/>
  <c r="M16" i="7"/>
  <c r="P16" i="7"/>
  <c r="AW16" i="7"/>
  <c r="AN16" i="7"/>
  <c r="V19" i="7"/>
  <c r="AQ19" i="7"/>
  <c r="AQ16" i="7"/>
  <c r="AH15" i="7"/>
  <c r="V15" i="7"/>
  <c r="Y15" i="7"/>
  <c r="AW19" i="7"/>
  <c r="AZ19" i="7"/>
  <c r="AE19" i="7"/>
  <c r="AQ14" i="7"/>
  <c r="D17" i="7"/>
  <c r="Y17" i="7"/>
  <c r="G17" i="7"/>
  <c r="AW15" i="7"/>
  <c r="AZ15" i="7"/>
  <c r="P15" i="7"/>
  <c r="S18" i="7"/>
  <c r="AB18" i="7"/>
  <c r="D18" i="7"/>
  <c r="BC19" i="7"/>
  <c r="S19" i="7"/>
  <c r="J19" i="7"/>
  <c r="S17" i="7"/>
  <c r="AE17" i="7"/>
  <c r="P17" i="7"/>
  <c r="AB17" i="7"/>
  <c r="AN17" i="7"/>
  <c r="P18" i="7"/>
  <c r="M17" i="7"/>
  <c r="P19" i="7"/>
  <c r="AB19" i="7"/>
  <c r="G16" i="7"/>
  <c r="M14" i="7"/>
  <c r="AK14" i="7"/>
  <c r="M18" i="7"/>
  <c r="Y18" i="7"/>
  <c r="AE14" i="7"/>
  <c r="D14" i="7"/>
  <c r="G19" i="7"/>
  <c r="AH17" i="7"/>
  <c r="BT42" i="7"/>
  <c r="E47" i="7"/>
  <c r="T48" i="7"/>
  <c r="R48" i="7"/>
  <c r="O48" i="7"/>
  <c r="Q48" i="7"/>
  <c r="N48" i="7"/>
  <c r="L48" i="7"/>
  <c r="I48" i="7"/>
  <c r="K48" i="7"/>
  <c r="F48" i="7"/>
  <c r="H48" i="7"/>
  <c r="E48" i="7"/>
  <c r="D48" i="7"/>
  <c r="C48" i="7"/>
  <c r="B49" i="7"/>
  <c r="BT21" i="7"/>
  <c r="H2" i="7"/>
  <c r="K2" i="7" s="1"/>
  <c r="N2" i="7" s="1"/>
  <c r="Q2" i="7" s="1"/>
  <c r="T2" i="7" s="1"/>
  <c r="W2" i="7" s="1"/>
  <c r="L121" i="2"/>
  <c r="G46" i="7" a="1"/>
  <c r="P45" i="7" a="1"/>
  <c r="J48" i="7" a="1"/>
  <c r="M49" i="7" a="1"/>
  <c r="H47" i="7" a="1"/>
  <c r="L49" i="7" a="1"/>
  <c r="T49" i="7" a="1"/>
  <c r="O49" i="7" a="1"/>
  <c r="J46" i="7" a="1"/>
  <c r="D45" i="7" a="1"/>
  <c r="P49" i="7" a="1"/>
  <c r="E45" i="7" a="1"/>
  <c r="J49" i="7" a="1"/>
  <c r="E49" i="7" a="1"/>
  <c r="P48" i="7" a="1"/>
  <c r="G47" i="7" a="1"/>
  <c r="G48" i="7" a="1"/>
  <c r="M47" i="7" a="1"/>
  <c r="H45" i="7" a="1"/>
  <c r="N49" i="7" a="1"/>
  <c r="E46" i="7" a="1"/>
  <c r="I49" i="7" a="1"/>
  <c r="S49" i="7" a="1"/>
  <c r="J47" i="7" a="1"/>
  <c r="G45" i="7" a="1"/>
  <c r="Q49" i="7" a="1"/>
  <c r="D46" i="7" a="1"/>
  <c r="C49" i="7" a="1"/>
  <c r="G49" i="7" a="1"/>
  <c r="P47" i="7" a="1"/>
  <c r="R49" i="7" a="1"/>
  <c r="F49" i="7" a="1"/>
  <c r="M45" i="7" a="1"/>
  <c r="S45" i="7" a="1"/>
  <c r="S47" i="7" a="1"/>
  <c r="D47" i="7" a="1"/>
  <c r="D49" i="7" a="1"/>
  <c r="H49" i="7" a="1"/>
  <c r="K49" i="7" a="1"/>
  <c r="S48" i="7" a="1"/>
  <c r="M48" i="7" a="1"/>
  <c r="J45" i="7" a="1"/>
  <c r="M46" i="7" a="1"/>
  <c r="S46" i="7" a="1"/>
  <c r="P46" i="7" a="1"/>
  <c r="BT15" i="7" l="1"/>
  <c r="P47" i="7"/>
  <c r="M48" i="7"/>
  <c r="BT14" i="7"/>
  <c r="BT17" i="7"/>
  <c r="BT18" i="7"/>
  <c r="BT16" i="7"/>
  <c r="BT43" i="7"/>
  <c r="BT19" i="7"/>
  <c r="S46" i="7"/>
  <c r="J47" i="7"/>
  <c r="G47" i="7"/>
  <c r="J46" i="7"/>
  <c r="P45" i="7"/>
  <c r="M47" i="7"/>
  <c r="D47" i="7"/>
  <c r="S47" i="7"/>
  <c r="M45" i="7"/>
  <c r="J48" i="7"/>
  <c r="D46" i="7"/>
  <c r="G45" i="7"/>
  <c r="P48" i="7"/>
  <c r="J45" i="7"/>
  <c r="G46" i="7"/>
  <c r="S48" i="7"/>
  <c r="D45" i="7"/>
  <c r="S45" i="7"/>
  <c r="P46" i="7"/>
  <c r="M46" i="7"/>
  <c r="G48" i="7"/>
  <c r="E45" i="7"/>
  <c r="E46" i="7"/>
  <c r="H45" i="7"/>
  <c r="T49" i="7"/>
  <c r="S49" i="7"/>
  <c r="R49" i="7"/>
  <c r="Q49" i="7"/>
  <c r="O49" i="7"/>
  <c r="P49" i="7"/>
  <c r="L49" i="7"/>
  <c r="M49" i="7"/>
  <c r="N49" i="7"/>
  <c r="I49" i="7"/>
  <c r="K49" i="7"/>
  <c r="J49" i="7"/>
  <c r="F49" i="7"/>
  <c r="H49" i="7"/>
  <c r="G49" i="7"/>
  <c r="E49" i="7"/>
  <c r="D49" i="7"/>
  <c r="C49" i="7"/>
  <c r="H47" i="7"/>
  <c r="B50" i="7"/>
  <c r="BT22" i="7"/>
  <c r="Z2" i="7"/>
  <c r="AC2" i="7" s="1"/>
  <c r="F61" i="5"/>
  <c r="F6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4" i="5"/>
  <c r="F5" i="5"/>
  <c r="F6" i="5"/>
  <c r="F7" i="5"/>
  <c r="F3" i="5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M3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6" i="5"/>
  <c r="M7" i="5"/>
  <c r="M8" i="5"/>
  <c r="M9" i="5"/>
  <c r="M5" i="5"/>
  <c r="M4" i="5"/>
  <c r="G64" i="5"/>
  <c r="L12" i="6"/>
  <c r="K12" i="6"/>
  <c r="J12" i="6"/>
  <c r="I12" i="6"/>
  <c r="H12" i="6"/>
  <c r="G12" i="6"/>
  <c r="L11" i="6"/>
  <c r="K11" i="6"/>
  <c r="J11" i="6"/>
  <c r="I11" i="6"/>
  <c r="H11" i="6"/>
  <c r="G11" i="6"/>
  <c r="L10" i="6"/>
  <c r="K10" i="6"/>
  <c r="J10" i="6"/>
  <c r="I10" i="6"/>
  <c r="H10" i="6"/>
  <c r="G10" i="6"/>
  <c r="L9" i="6"/>
  <c r="K9" i="6"/>
  <c r="J9" i="6"/>
  <c r="I9" i="6"/>
  <c r="H9" i="6"/>
  <c r="G9" i="6"/>
  <c r="L8" i="6"/>
  <c r="K8" i="6"/>
  <c r="J8" i="6"/>
  <c r="I8" i="6"/>
  <c r="H8" i="6"/>
  <c r="G8" i="6"/>
  <c r="L7" i="6"/>
  <c r="K7" i="6"/>
  <c r="J7" i="6"/>
  <c r="I7" i="6"/>
  <c r="H7" i="6"/>
  <c r="G7" i="6"/>
  <c r="L6" i="6"/>
  <c r="K6" i="6"/>
  <c r="J6" i="6"/>
  <c r="I6" i="6"/>
  <c r="H6" i="6"/>
  <c r="B34" i="6"/>
  <c r="M50" i="7" a="1"/>
  <c r="H50" i="7" a="1"/>
  <c r="K45" i="7" a="1"/>
  <c r="G50" i="7" a="1"/>
  <c r="Q50" i="7" a="1"/>
  <c r="F50" i="7" a="1"/>
  <c r="BU13" i="7" a="1"/>
  <c r="H46" i="7" a="1"/>
  <c r="J50" i="7" a="1"/>
  <c r="K50" i="7" a="1"/>
  <c r="T50" i="7" a="1"/>
  <c r="O50" i="7" a="1"/>
  <c r="L50" i="7" a="1"/>
  <c r="K47" i="7" a="1"/>
  <c r="S50" i="7" a="1"/>
  <c r="D50" i="7" a="1"/>
  <c r="BU21" i="7" a="1"/>
  <c r="N50" i="7" a="1"/>
  <c r="P50" i="7" a="1"/>
  <c r="R50" i="7" a="1"/>
  <c r="E50" i="7" a="1"/>
  <c r="C50" i="7" a="1"/>
  <c r="I50" i="7" a="1"/>
  <c r="V72" i="7" l="1"/>
  <c r="D72" i="7"/>
  <c r="S72" i="7"/>
  <c r="P72" i="7"/>
  <c r="M72" i="7"/>
  <c r="J72" i="7"/>
  <c r="G72" i="7"/>
  <c r="S73" i="7"/>
  <c r="V73" i="7"/>
  <c r="P73" i="7"/>
  <c r="D73" i="7"/>
  <c r="J73" i="7"/>
  <c r="G73" i="7"/>
  <c r="M73" i="7"/>
  <c r="BT23" i="7"/>
  <c r="BT44" i="7"/>
  <c r="K47" i="7"/>
  <c r="G50" i="7"/>
  <c r="K50" i="7"/>
  <c r="S50" i="7"/>
  <c r="C50" i="7"/>
  <c r="O50" i="7"/>
  <c r="T50" i="7"/>
  <c r="H50" i="7"/>
  <c r="P50" i="7"/>
  <c r="D50" i="7"/>
  <c r="L50" i="7"/>
  <c r="R50" i="7"/>
  <c r="I50" i="7"/>
  <c r="Q50" i="7"/>
  <c r="N50" i="7"/>
  <c r="E50" i="7"/>
  <c r="M50" i="7"/>
  <c r="F50" i="7"/>
  <c r="J50" i="7"/>
  <c r="H46" i="7"/>
  <c r="K45" i="7"/>
  <c r="B51" i="7"/>
  <c r="BT24" i="7"/>
  <c r="BU13" i="7"/>
  <c r="BU21" i="7"/>
  <c r="AF2" i="7"/>
  <c r="L8" i="5"/>
  <c r="L16" i="5"/>
  <c r="L5" i="5"/>
  <c r="L3" i="5"/>
  <c r="L4" i="5"/>
  <c r="I13" i="6"/>
  <c r="L13" i="6"/>
  <c r="M7" i="6"/>
  <c r="M9" i="6"/>
  <c r="M11" i="6"/>
  <c r="G13" i="6"/>
  <c r="H13" i="6"/>
  <c r="M6" i="6"/>
  <c r="M8" i="6"/>
  <c r="J13" i="6"/>
  <c r="K13" i="6"/>
  <c r="M12" i="6"/>
  <c r="M10" i="6"/>
  <c r="L10" i="5"/>
  <c r="L17" i="5"/>
  <c r="L18" i="5"/>
  <c r="L9" i="5"/>
  <c r="L7" i="5"/>
  <c r="L6" i="5"/>
  <c r="L21" i="5"/>
  <c r="L13" i="5"/>
  <c r="L19" i="5"/>
  <c r="L11" i="5"/>
  <c r="K23" i="5"/>
  <c r="L14" i="5"/>
  <c r="L20" i="5"/>
  <c r="L12" i="5"/>
  <c r="L22" i="5"/>
  <c r="L15" i="5"/>
  <c r="M23" i="5"/>
  <c r="T51" i="7" a="1"/>
  <c r="O51" i="7" a="1"/>
  <c r="M51" i="7" a="1"/>
  <c r="H51" i="7" a="1"/>
  <c r="R51" i="7" a="1"/>
  <c r="K46" i="7" a="1"/>
  <c r="C51" i="7" a="1"/>
  <c r="N45" i="7" a="1"/>
  <c r="N47" i="7" a="1"/>
  <c r="P51" i="7" a="1"/>
  <c r="L51" i="7" a="1"/>
  <c r="N51" i="7" a="1"/>
  <c r="I51" i="7" a="1"/>
  <c r="Q51" i="7" a="1"/>
  <c r="E51" i="7" a="1"/>
  <c r="D51" i="7" a="1"/>
  <c r="J51" i="7" a="1"/>
  <c r="K51" i="7" a="1"/>
  <c r="S51" i="7" a="1"/>
  <c r="G51" i="7" a="1"/>
  <c r="F51" i="7" a="1"/>
  <c r="X72" i="7" l="1"/>
  <c r="X73" i="7"/>
  <c r="D74" i="7"/>
  <c r="V74" i="7"/>
  <c r="J74" i="7"/>
  <c r="M74" i="7"/>
  <c r="P74" i="7"/>
  <c r="S74" i="7"/>
  <c r="G74" i="7"/>
  <c r="BT45" i="7"/>
  <c r="C51" i="7"/>
  <c r="G51" i="7"/>
  <c r="K51" i="7"/>
  <c r="O51" i="7"/>
  <c r="S51" i="7"/>
  <c r="H51" i="7"/>
  <c r="L51" i="7"/>
  <c r="P51" i="7"/>
  <c r="T51" i="7"/>
  <c r="E51" i="7"/>
  <c r="I51" i="7"/>
  <c r="M51" i="7"/>
  <c r="Q51" i="7"/>
  <c r="F51" i="7"/>
  <c r="J51" i="7"/>
  <c r="N51" i="7"/>
  <c r="R51" i="7"/>
  <c r="D51" i="7"/>
  <c r="N47" i="7"/>
  <c r="N45" i="7"/>
  <c r="K46" i="7"/>
  <c r="B52" i="7"/>
  <c r="BT25" i="7"/>
  <c r="AI2" i="7"/>
  <c r="M13" i="6"/>
  <c r="L23" i="5"/>
  <c r="A97" i="4"/>
  <c r="G97" i="4" s="1"/>
  <c r="B75" i="4"/>
  <c r="A75" i="4"/>
  <c r="A73" i="4"/>
  <c r="D73" i="4" s="1"/>
  <c r="B61" i="4"/>
  <c r="A61" i="4"/>
  <c r="B48" i="4"/>
  <c r="A59" i="4" s="1"/>
  <c r="A48" i="4"/>
  <c r="A46" i="4"/>
  <c r="C46" i="4" s="1"/>
  <c r="B38" i="4"/>
  <c r="A38" i="4"/>
  <c r="A36" i="4"/>
  <c r="F36" i="4" s="1"/>
  <c r="B30" i="4"/>
  <c r="A30" i="4"/>
  <c r="A28" i="4"/>
  <c r="C28" i="4" s="1"/>
  <c r="B19" i="4"/>
  <c r="A19" i="4"/>
  <c r="A16" i="4"/>
  <c r="E16" i="4" s="1"/>
  <c r="A15" i="4"/>
  <c r="D15" i="4" s="1"/>
  <c r="A14" i="4"/>
  <c r="C14" i="4" s="1"/>
  <c r="A13" i="4"/>
  <c r="B13" i="4" s="1"/>
  <c r="A12" i="4"/>
  <c r="B12" i="4" s="1"/>
  <c r="A11" i="4"/>
  <c r="G11" i="4" s="1"/>
  <c r="F8" i="4"/>
  <c r="E8" i="4"/>
  <c r="D8" i="4"/>
  <c r="C8" i="4"/>
  <c r="F7" i="4"/>
  <c r="E7" i="4"/>
  <c r="D7" i="4"/>
  <c r="F6" i="4"/>
  <c r="E6" i="4"/>
  <c r="D6" i="4"/>
  <c r="F5" i="4"/>
  <c r="E5" i="4"/>
  <c r="D5" i="4"/>
  <c r="F4" i="4"/>
  <c r="E4" i="4"/>
  <c r="D4" i="4"/>
  <c r="F3" i="4"/>
  <c r="E3" i="4"/>
  <c r="D3" i="4"/>
  <c r="M52" i="7" a="1"/>
  <c r="N46" i="7" a="1"/>
  <c r="Q52" i="7" a="1"/>
  <c r="S52" i="7" a="1"/>
  <c r="K52" i="7" a="1"/>
  <c r="J52" i="7" a="1"/>
  <c r="N52" i="7" a="1"/>
  <c r="E52" i="7" a="1"/>
  <c r="C52" i="7" a="1"/>
  <c r="P52" i="7" a="1"/>
  <c r="I52" i="7" a="1"/>
  <c r="F52" i="7" a="1"/>
  <c r="G52" i="7" a="1"/>
  <c r="H52" i="7" a="1"/>
  <c r="T52" i="7" a="1"/>
  <c r="O52" i="7" a="1"/>
  <c r="D52" i="7" a="1"/>
  <c r="Q47" i="7" a="1"/>
  <c r="L52" i="7" a="1"/>
  <c r="R52" i="7" a="1"/>
  <c r="Q45" i="7" a="1"/>
  <c r="X74" i="7" l="1"/>
  <c r="D75" i="7"/>
  <c r="G75" i="7"/>
  <c r="J75" i="7"/>
  <c r="M75" i="7"/>
  <c r="P75" i="7"/>
  <c r="S75" i="7"/>
  <c r="V75" i="7"/>
  <c r="BT46" i="7"/>
  <c r="Q45" i="7"/>
  <c r="Q47" i="7"/>
  <c r="N46" i="7"/>
  <c r="M52" i="7"/>
  <c r="Q52" i="7"/>
  <c r="O52" i="7"/>
  <c r="G52" i="7"/>
  <c r="S52" i="7"/>
  <c r="C52" i="7"/>
  <c r="K52" i="7"/>
  <c r="D52" i="7"/>
  <c r="I52" i="7"/>
  <c r="R52" i="7"/>
  <c r="J52" i="7"/>
  <c r="T52" i="7"/>
  <c r="H52" i="7"/>
  <c r="F52" i="7"/>
  <c r="P52" i="7"/>
  <c r="L52" i="7"/>
  <c r="E52" i="7"/>
  <c r="N52" i="7"/>
  <c r="BT47" i="7"/>
  <c r="B53" i="7"/>
  <c r="AL2" i="7"/>
  <c r="AO2" i="7" s="1"/>
  <c r="E28" i="4"/>
  <c r="F13" i="4"/>
  <c r="G13" i="4"/>
  <c r="C12" i="4"/>
  <c r="C16" i="4"/>
  <c r="E13" i="4"/>
  <c r="D12" i="4"/>
  <c r="B16" i="4"/>
  <c r="G16" i="4"/>
  <c r="F28" i="4"/>
  <c r="E46" i="4"/>
  <c r="F73" i="4"/>
  <c r="C11" i="4"/>
  <c r="F12" i="4"/>
  <c r="E14" i="4"/>
  <c r="D11" i="4"/>
  <c r="G12" i="4"/>
  <c r="F14" i="4"/>
  <c r="B11" i="4"/>
  <c r="E12" i="4"/>
  <c r="E11" i="4"/>
  <c r="A81" i="4"/>
  <c r="G81" i="4" s="1"/>
  <c r="A21" i="4"/>
  <c r="D21" i="4" s="1"/>
  <c r="F11" i="4"/>
  <c r="D13" i="4"/>
  <c r="F15" i="4"/>
  <c r="A23" i="4"/>
  <c r="F23" i="4" s="1"/>
  <c r="A89" i="4"/>
  <c r="G89" i="4" s="1"/>
  <c r="A24" i="4"/>
  <c r="G24" i="4" s="1"/>
  <c r="A65" i="4"/>
  <c r="D65" i="4" s="1"/>
  <c r="A42" i="4"/>
  <c r="G42" i="4" s="1"/>
  <c r="A68" i="4"/>
  <c r="G68" i="4" s="1"/>
  <c r="C59" i="4"/>
  <c r="A57" i="4"/>
  <c r="B59" i="4"/>
  <c r="A58" i="4"/>
  <c r="A50" i="4"/>
  <c r="A51" i="4"/>
  <c r="A52" i="4"/>
  <c r="G59" i="4"/>
  <c r="A53" i="4"/>
  <c r="F59" i="4"/>
  <c r="A54" i="4"/>
  <c r="E59" i="4"/>
  <c r="A55" i="4"/>
  <c r="D59" i="4"/>
  <c r="A56" i="4"/>
  <c r="C13" i="4"/>
  <c r="D14" i="4"/>
  <c r="E15" i="4"/>
  <c r="F16" i="4"/>
  <c r="A25" i="4"/>
  <c r="D28" i="4"/>
  <c r="G36" i="4"/>
  <c r="A43" i="4"/>
  <c r="D46" i="4"/>
  <c r="A69" i="4"/>
  <c r="E73" i="4"/>
  <c r="A82" i="4"/>
  <c r="A90" i="4"/>
  <c r="G15" i="4"/>
  <c r="A41" i="4"/>
  <c r="F46" i="4"/>
  <c r="A67" i="4"/>
  <c r="G73" i="4"/>
  <c r="A80" i="4"/>
  <c r="A88" i="4"/>
  <c r="B89" i="4"/>
  <c r="A96" i="4"/>
  <c r="B97" i="4"/>
  <c r="G14" i="4"/>
  <c r="A22" i="4"/>
  <c r="G28" i="4"/>
  <c r="A35" i="4"/>
  <c r="B36" i="4"/>
  <c r="A40" i="4"/>
  <c r="G46" i="4"/>
  <c r="A66" i="4"/>
  <c r="A79" i="4"/>
  <c r="A87" i="4"/>
  <c r="A95" i="4"/>
  <c r="C97" i="4"/>
  <c r="A34" i="4"/>
  <c r="C36" i="4"/>
  <c r="A78" i="4"/>
  <c r="A86" i="4"/>
  <c r="D89" i="4"/>
  <c r="A94" i="4"/>
  <c r="D97" i="4"/>
  <c r="B15" i="4"/>
  <c r="A33" i="4"/>
  <c r="D36" i="4"/>
  <c r="A64" i="4"/>
  <c r="A72" i="4"/>
  <c r="B73" i="4"/>
  <c r="A77" i="4"/>
  <c r="A85" i="4"/>
  <c r="E89" i="4"/>
  <c r="A93" i="4"/>
  <c r="E97" i="4"/>
  <c r="B14" i="4"/>
  <c r="C15" i="4"/>
  <c r="D16" i="4"/>
  <c r="E23" i="4"/>
  <c r="A27" i="4"/>
  <c r="B28" i="4"/>
  <c r="A32" i="4"/>
  <c r="E36" i="4"/>
  <c r="A45" i="4"/>
  <c r="B46" i="4"/>
  <c r="A63" i="4"/>
  <c r="A71" i="4"/>
  <c r="C73" i="4"/>
  <c r="A84" i="4"/>
  <c r="F89" i="4"/>
  <c r="A92" i="4"/>
  <c r="F97" i="4"/>
  <c r="A26" i="4"/>
  <c r="A44" i="4"/>
  <c r="A70" i="4"/>
  <c r="A83" i="4"/>
  <c r="A91" i="4"/>
  <c r="I53" i="7" a="1"/>
  <c r="H53" i="7" a="1"/>
  <c r="R53" i="7" a="1"/>
  <c r="J53" i="7" a="1"/>
  <c r="D53" i="7" a="1"/>
  <c r="T53" i="7" a="1"/>
  <c r="E53" i="7" a="1"/>
  <c r="O53" i="7" a="1"/>
  <c r="N53" i="7" a="1"/>
  <c r="S53" i="7" a="1"/>
  <c r="T45" i="7" a="1"/>
  <c r="K53" i="7" a="1"/>
  <c r="M53" i="7" a="1"/>
  <c r="C53" i="7" a="1"/>
  <c r="Q46" i="7" a="1"/>
  <c r="Q53" i="7" a="1"/>
  <c r="F53" i="7" a="1"/>
  <c r="L53" i="7" a="1"/>
  <c r="P53" i="7" a="1"/>
  <c r="G53" i="7" a="1"/>
  <c r="T47" i="7" a="1"/>
  <c r="X75" i="7" l="1"/>
  <c r="G76" i="7"/>
  <c r="J76" i="7"/>
  <c r="M76" i="7"/>
  <c r="P76" i="7"/>
  <c r="S76" i="7"/>
  <c r="V76" i="7"/>
  <c r="D76" i="7"/>
  <c r="BT26" i="7"/>
  <c r="T45" i="7"/>
  <c r="T47" i="7"/>
  <c r="F53" i="7"/>
  <c r="J53" i="7"/>
  <c r="N53" i="7"/>
  <c r="R53" i="7"/>
  <c r="C53" i="7"/>
  <c r="Q53" i="7"/>
  <c r="G53" i="7"/>
  <c r="I53" i="7"/>
  <c r="E53" i="7"/>
  <c r="S53" i="7"/>
  <c r="T53" i="7"/>
  <c r="H53" i="7"/>
  <c r="L53" i="7"/>
  <c r="O53" i="7"/>
  <c r="D53" i="7"/>
  <c r="K53" i="7"/>
  <c r="P53" i="7"/>
  <c r="M53" i="7"/>
  <c r="Q46" i="7"/>
  <c r="B54" i="7"/>
  <c r="BT48" i="7"/>
  <c r="AR2" i="7"/>
  <c r="AU2" i="7" s="1"/>
  <c r="AX2" i="7" s="1"/>
  <c r="BA2" i="7" s="1"/>
  <c r="BD2" i="7" s="1"/>
  <c r="BG2" i="7" s="1"/>
  <c r="BJ2" i="7" s="1"/>
  <c r="BM2" i="7" s="1"/>
  <c r="C89" i="4"/>
  <c r="C23" i="4"/>
  <c r="B42" i="4"/>
  <c r="C42" i="4"/>
  <c r="E42" i="4"/>
  <c r="F24" i="4"/>
  <c r="E24" i="4"/>
  <c r="D24" i="4"/>
  <c r="D81" i="4"/>
  <c r="C81" i="4"/>
  <c r="C24" i="4"/>
  <c r="C21" i="4"/>
  <c r="B21" i="4"/>
  <c r="D42" i="4"/>
  <c r="F42" i="4"/>
  <c r="E21" i="4"/>
  <c r="F68" i="4"/>
  <c r="B24" i="4"/>
  <c r="D68" i="4"/>
  <c r="E68" i="4"/>
  <c r="D23" i="4"/>
  <c r="B23" i="4"/>
  <c r="G23" i="4"/>
  <c r="C65" i="4"/>
  <c r="B65" i="4"/>
  <c r="G65" i="4"/>
  <c r="E65" i="4"/>
  <c r="E81" i="4"/>
  <c r="C68" i="4"/>
  <c r="B81" i="4"/>
  <c r="F65" i="4"/>
  <c r="F81" i="4"/>
  <c r="G21" i="4"/>
  <c r="F21" i="4"/>
  <c r="B68" i="4"/>
  <c r="D78" i="4"/>
  <c r="C78" i="4"/>
  <c r="B78" i="4"/>
  <c r="G78" i="4"/>
  <c r="F78" i="4"/>
  <c r="E78" i="4"/>
  <c r="E95" i="4"/>
  <c r="D95" i="4"/>
  <c r="C95" i="4"/>
  <c r="B95" i="4"/>
  <c r="G95" i="4"/>
  <c r="F95" i="4"/>
  <c r="G90" i="4"/>
  <c r="F90" i="4"/>
  <c r="E90" i="4"/>
  <c r="D90" i="4"/>
  <c r="C90" i="4"/>
  <c r="B90" i="4"/>
  <c r="G56" i="4"/>
  <c r="F56" i="4"/>
  <c r="E56" i="4"/>
  <c r="D56" i="4"/>
  <c r="C56" i="4"/>
  <c r="B56" i="4"/>
  <c r="D52" i="4"/>
  <c r="C52" i="4"/>
  <c r="B52" i="4"/>
  <c r="G52" i="4"/>
  <c r="F52" i="4"/>
  <c r="E52" i="4"/>
  <c r="B32" i="4"/>
  <c r="G32" i="4"/>
  <c r="F32" i="4"/>
  <c r="E32" i="4"/>
  <c r="D32" i="4"/>
  <c r="C32" i="4"/>
  <c r="E40" i="4"/>
  <c r="D40" i="4"/>
  <c r="C40" i="4"/>
  <c r="B40" i="4"/>
  <c r="G40" i="4"/>
  <c r="F40" i="4"/>
  <c r="C51" i="4"/>
  <c r="B51" i="4"/>
  <c r="G51" i="4"/>
  <c r="F51" i="4"/>
  <c r="E51" i="4"/>
  <c r="D51" i="4"/>
  <c r="G26" i="4"/>
  <c r="F26" i="4"/>
  <c r="E26" i="4"/>
  <c r="D26" i="4"/>
  <c r="C26" i="4"/>
  <c r="B26" i="4"/>
  <c r="E87" i="4"/>
  <c r="D87" i="4"/>
  <c r="C87" i="4"/>
  <c r="B87" i="4"/>
  <c r="G87" i="4"/>
  <c r="F87" i="4"/>
  <c r="F96" i="4"/>
  <c r="E96" i="4"/>
  <c r="D96" i="4"/>
  <c r="C96" i="4"/>
  <c r="B96" i="4"/>
  <c r="G96" i="4"/>
  <c r="G55" i="4"/>
  <c r="F55" i="4"/>
  <c r="E55" i="4"/>
  <c r="D55" i="4"/>
  <c r="C55" i="4"/>
  <c r="B55" i="4"/>
  <c r="B50" i="4"/>
  <c r="G50" i="4"/>
  <c r="F50" i="4"/>
  <c r="E50" i="4"/>
  <c r="D50" i="4"/>
  <c r="C50" i="4"/>
  <c r="G82" i="4"/>
  <c r="F82" i="4"/>
  <c r="E82" i="4"/>
  <c r="D82" i="4"/>
  <c r="C82" i="4"/>
  <c r="B82" i="4"/>
  <c r="C93" i="4"/>
  <c r="B93" i="4"/>
  <c r="G93" i="4"/>
  <c r="F93" i="4"/>
  <c r="E93" i="4"/>
  <c r="D93" i="4"/>
  <c r="B92" i="4"/>
  <c r="G92" i="4"/>
  <c r="F92" i="4"/>
  <c r="E92" i="4"/>
  <c r="D92" i="4"/>
  <c r="C92" i="4"/>
  <c r="B63" i="4"/>
  <c r="G63" i="4"/>
  <c r="F63" i="4"/>
  <c r="E63" i="4"/>
  <c r="D63" i="4"/>
  <c r="C63" i="4"/>
  <c r="C64" i="4"/>
  <c r="B64" i="4"/>
  <c r="G64" i="4"/>
  <c r="F64" i="4"/>
  <c r="E64" i="4"/>
  <c r="D64" i="4"/>
  <c r="E35" i="4"/>
  <c r="D35" i="4"/>
  <c r="C35" i="4"/>
  <c r="B35" i="4"/>
  <c r="G35" i="4"/>
  <c r="F35" i="4"/>
  <c r="G69" i="4"/>
  <c r="F69" i="4"/>
  <c r="E69" i="4"/>
  <c r="D69" i="4"/>
  <c r="C69" i="4"/>
  <c r="B69" i="4"/>
  <c r="B58" i="4"/>
  <c r="G58" i="4"/>
  <c r="F58" i="4"/>
  <c r="E58" i="4"/>
  <c r="D58" i="4"/>
  <c r="C58" i="4"/>
  <c r="E22" i="4"/>
  <c r="D22" i="4"/>
  <c r="C22" i="4"/>
  <c r="B22" i="4"/>
  <c r="G22" i="4"/>
  <c r="F22" i="4"/>
  <c r="B71" i="4"/>
  <c r="G71" i="4"/>
  <c r="F71" i="4"/>
  <c r="E71" i="4"/>
  <c r="D71" i="4"/>
  <c r="C71" i="4"/>
  <c r="F67" i="4"/>
  <c r="E67" i="4"/>
  <c r="D67" i="4"/>
  <c r="C67" i="4"/>
  <c r="B67" i="4"/>
  <c r="G67" i="4"/>
  <c r="G25" i="4"/>
  <c r="F25" i="4"/>
  <c r="E25" i="4"/>
  <c r="D25" i="4"/>
  <c r="C25" i="4"/>
  <c r="B25" i="4"/>
  <c r="B27" i="4"/>
  <c r="G27" i="4"/>
  <c r="F27" i="4"/>
  <c r="E27" i="4"/>
  <c r="D27" i="4"/>
  <c r="C27" i="4"/>
  <c r="C85" i="4"/>
  <c r="B85" i="4"/>
  <c r="G85" i="4"/>
  <c r="F85" i="4"/>
  <c r="E85" i="4"/>
  <c r="D85" i="4"/>
  <c r="D94" i="4"/>
  <c r="C94" i="4"/>
  <c r="B94" i="4"/>
  <c r="G94" i="4"/>
  <c r="F94" i="4"/>
  <c r="E94" i="4"/>
  <c r="D34" i="4"/>
  <c r="C34" i="4"/>
  <c r="B34" i="4"/>
  <c r="G34" i="4"/>
  <c r="F34" i="4"/>
  <c r="E34" i="4"/>
  <c r="E79" i="4"/>
  <c r="D79" i="4"/>
  <c r="C79" i="4"/>
  <c r="B79" i="4"/>
  <c r="G79" i="4"/>
  <c r="F79" i="4"/>
  <c r="F88" i="4"/>
  <c r="E88" i="4"/>
  <c r="D88" i="4"/>
  <c r="C88" i="4"/>
  <c r="B88" i="4"/>
  <c r="G88" i="4"/>
  <c r="F54" i="4"/>
  <c r="E54" i="4"/>
  <c r="D54" i="4"/>
  <c r="C54" i="4"/>
  <c r="B54" i="4"/>
  <c r="G54" i="4"/>
  <c r="C72" i="4"/>
  <c r="B72" i="4"/>
  <c r="G72" i="4"/>
  <c r="F72" i="4"/>
  <c r="E72" i="4"/>
  <c r="D72" i="4"/>
  <c r="G91" i="4"/>
  <c r="F91" i="4"/>
  <c r="E91" i="4"/>
  <c r="D91" i="4"/>
  <c r="C91" i="4"/>
  <c r="B91" i="4"/>
  <c r="B84" i="4"/>
  <c r="G84" i="4"/>
  <c r="F84" i="4"/>
  <c r="E84" i="4"/>
  <c r="D84" i="4"/>
  <c r="C84" i="4"/>
  <c r="B45" i="4"/>
  <c r="G45" i="4"/>
  <c r="F45" i="4"/>
  <c r="E45" i="4"/>
  <c r="D45" i="4"/>
  <c r="C45" i="4"/>
  <c r="F41" i="4"/>
  <c r="E41" i="4"/>
  <c r="D41" i="4"/>
  <c r="C41" i="4"/>
  <c r="B41" i="4"/>
  <c r="G41" i="4"/>
  <c r="G57" i="4"/>
  <c r="F57" i="4"/>
  <c r="E57" i="4"/>
  <c r="D57" i="4"/>
  <c r="C57" i="4"/>
  <c r="B57" i="4"/>
  <c r="G70" i="4"/>
  <c r="F70" i="4"/>
  <c r="E70" i="4"/>
  <c r="D70" i="4"/>
  <c r="C70" i="4"/>
  <c r="B70" i="4"/>
  <c r="G44" i="4"/>
  <c r="F44" i="4"/>
  <c r="E44" i="4"/>
  <c r="D44" i="4"/>
  <c r="C44" i="4"/>
  <c r="B44" i="4"/>
  <c r="G83" i="4"/>
  <c r="F83" i="4"/>
  <c r="E83" i="4"/>
  <c r="D83" i="4"/>
  <c r="C83" i="4"/>
  <c r="B83" i="4"/>
  <c r="C77" i="4"/>
  <c r="B77" i="4"/>
  <c r="G77" i="4"/>
  <c r="F77" i="4"/>
  <c r="E77" i="4"/>
  <c r="D77" i="4"/>
  <c r="C33" i="4"/>
  <c r="B33" i="4"/>
  <c r="G33" i="4"/>
  <c r="F33" i="4"/>
  <c r="E33" i="4"/>
  <c r="D33" i="4"/>
  <c r="D86" i="4"/>
  <c r="C86" i="4"/>
  <c r="B86" i="4"/>
  <c r="G86" i="4"/>
  <c r="F86" i="4"/>
  <c r="E86" i="4"/>
  <c r="E66" i="4"/>
  <c r="D66" i="4"/>
  <c r="C66" i="4"/>
  <c r="B66" i="4"/>
  <c r="G66" i="4"/>
  <c r="F66" i="4"/>
  <c r="F80" i="4"/>
  <c r="E80" i="4"/>
  <c r="D80" i="4"/>
  <c r="C80" i="4"/>
  <c r="B80" i="4"/>
  <c r="G80" i="4"/>
  <c r="G43" i="4"/>
  <c r="F43" i="4"/>
  <c r="E43" i="4"/>
  <c r="D43" i="4"/>
  <c r="C43" i="4"/>
  <c r="B43" i="4"/>
  <c r="E53" i="4"/>
  <c r="D53" i="4"/>
  <c r="C53" i="4"/>
  <c r="B53" i="4"/>
  <c r="G53" i="4"/>
  <c r="F53" i="4"/>
  <c r="BU14" i="7" a="1"/>
  <c r="M54" i="7" a="1"/>
  <c r="I54" i="7" a="1"/>
  <c r="BU22" i="7" a="1"/>
  <c r="T54" i="7" a="1"/>
  <c r="J54" i="7" a="1"/>
  <c r="BU23" i="7" a="1"/>
  <c r="BU26" i="7" a="1"/>
  <c r="N54" i="7" a="1"/>
  <c r="K54" i="7" a="1"/>
  <c r="S54" i="7" a="1"/>
  <c r="Q54" i="7" a="1"/>
  <c r="BU25" i="7" a="1"/>
  <c r="T46" i="7" a="1"/>
  <c r="R54" i="7" a="1"/>
  <c r="C54" i="7" a="1"/>
  <c r="D54" i="7" a="1"/>
  <c r="P54" i="7" a="1"/>
  <c r="H54" i="7" a="1"/>
  <c r="E54" i="7" a="1"/>
  <c r="O54" i="7" a="1"/>
  <c r="L54" i="7" a="1"/>
  <c r="G54" i="7" a="1"/>
  <c r="BU24" i="7" a="1"/>
  <c r="F54" i="7" a="1"/>
  <c r="BU24" i="7" l="1"/>
  <c r="P69" i="7"/>
  <c r="BU25" i="7"/>
  <c r="BU23" i="7"/>
  <c r="M69" i="7"/>
  <c r="X76" i="7"/>
  <c r="M71" i="7"/>
  <c r="P71" i="7"/>
  <c r="D71" i="7"/>
  <c r="S71" i="7"/>
  <c r="G71" i="7"/>
  <c r="J71" i="7"/>
  <c r="V71" i="7"/>
  <c r="D69" i="7"/>
  <c r="G69" i="7"/>
  <c r="V69" i="7"/>
  <c r="S69" i="7"/>
  <c r="J69" i="7"/>
  <c r="J77" i="7"/>
  <c r="M77" i="7"/>
  <c r="P77" i="7"/>
  <c r="S77" i="7"/>
  <c r="V77" i="7"/>
  <c r="G77" i="7"/>
  <c r="D77" i="7"/>
  <c r="BU26" i="7"/>
  <c r="T46" i="7"/>
  <c r="G54" i="7"/>
  <c r="F54" i="7"/>
  <c r="S54" i="7"/>
  <c r="E54" i="7"/>
  <c r="I54" i="7"/>
  <c r="C54" i="7"/>
  <c r="T54" i="7"/>
  <c r="J54" i="7"/>
  <c r="D54" i="7"/>
  <c r="R54" i="7"/>
  <c r="H54" i="7"/>
  <c r="M54" i="7"/>
  <c r="N54" i="7"/>
  <c r="O54" i="7"/>
  <c r="L54" i="7"/>
  <c r="Q54" i="7"/>
  <c r="P54" i="7"/>
  <c r="K54" i="7"/>
  <c r="BT27" i="7"/>
  <c r="B55" i="7"/>
  <c r="BU22" i="7"/>
  <c r="BU14" i="7"/>
  <c r="S55" i="7" a="1"/>
  <c r="P55" i="7" a="1"/>
  <c r="K55" i="7" a="1"/>
  <c r="C55" i="7" a="1"/>
  <c r="M55" i="7" a="1"/>
  <c r="J55" i="7" a="1"/>
  <c r="I55" i="7" a="1"/>
  <c r="G55" i="7" a="1"/>
  <c r="BR22" i="7" a="1"/>
  <c r="O55" i="7" a="1"/>
  <c r="Q55" i="7" a="1"/>
  <c r="D55" i="7" a="1"/>
  <c r="BR24" i="7" a="1"/>
  <c r="BR23" i="7" a="1"/>
  <c r="F55" i="7" a="1"/>
  <c r="T55" i="7" a="1"/>
  <c r="BR14" i="7" a="1"/>
  <c r="R55" i="7" a="1"/>
  <c r="BR25" i="7" a="1"/>
  <c r="H55" i="7" a="1"/>
  <c r="BU27" i="7" a="1"/>
  <c r="BR26" i="7" a="1"/>
  <c r="L55" i="7" a="1"/>
  <c r="E55" i="7" a="1"/>
  <c r="N55" i="7" a="1"/>
  <c r="BR14" i="7" l="1"/>
  <c r="BR26" i="7"/>
  <c r="BS26" i="7" s="1"/>
  <c r="BR25" i="7"/>
  <c r="BS25" i="7" s="1"/>
  <c r="BR24" i="7"/>
  <c r="BS24" i="7" s="1"/>
  <c r="BR23" i="7"/>
  <c r="BS23" i="7" s="1"/>
  <c r="BR22" i="7"/>
  <c r="BS22" i="7" s="1"/>
  <c r="X77" i="7"/>
  <c r="X71" i="7"/>
  <c r="S70" i="7"/>
  <c r="P70" i="7"/>
  <c r="J70" i="7"/>
  <c r="G70" i="7"/>
  <c r="D70" i="7"/>
  <c r="M70" i="7"/>
  <c r="V70" i="7"/>
  <c r="M78" i="7"/>
  <c r="P78" i="7"/>
  <c r="S78" i="7"/>
  <c r="V78" i="7"/>
  <c r="J78" i="7"/>
  <c r="D78" i="7"/>
  <c r="G78" i="7"/>
  <c r="X69" i="7"/>
  <c r="BU27" i="7"/>
  <c r="N55" i="7"/>
  <c r="O55" i="7"/>
  <c r="T55" i="7"/>
  <c r="M55" i="7"/>
  <c r="F55" i="7"/>
  <c r="I55" i="7"/>
  <c r="E55" i="7"/>
  <c r="C55" i="7"/>
  <c r="K55" i="7"/>
  <c r="S55" i="7"/>
  <c r="L55" i="7"/>
  <c r="P55" i="7"/>
  <c r="Q55" i="7"/>
  <c r="J55" i="7"/>
  <c r="D55" i="7"/>
  <c r="H55" i="7"/>
  <c r="R55" i="7"/>
  <c r="G55" i="7"/>
  <c r="B56" i="7"/>
  <c r="BS14" i="7"/>
  <c r="H50" i="2"/>
  <c r="H114" i="2" s="1"/>
  <c r="H39" i="2"/>
  <c r="H103" i="2" s="1"/>
  <c r="L98" i="2" s="1"/>
  <c r="H29" i="2"/>
  <c r="H93" i="2" s="1"/>
  <c r="L88" i="2" s="1"/>
  <c r="H11" i="2"/>
  <c r="H75" i="2" s="1"/>
  <c r="H22" i="2"/>
  <c r="BZ3" i="7" s="1"/>
  <c r="H4" i="2"/>
  <c r="S56" i="7" a="1"/>
  <c r="C56" i="7" a="1"/>
  <c r="R56" i="7" a="1"/>
  <c r="H56" i="7" a="1"/>
  <c r="D56" i="7" a="1"/>
  <c r="K56" i="7" a="1"/>
  <c r="N56" i="7" a="1"/>
  <c r="P56" i="7" a="1"/>
  <c r="Q56" i="7" a="1"/>
  <c r="M56" i="7" a="1"/>
  <c r="O56" i="7" a="1"/>
  <c r="BR27" i="7" a="1"/>
  <c r="L56" i="7" a="1"/>
  <c r="J56" i="7" a="1"/>
  <c r="F56" i="7" a="1"/>
  <c r="E56" i="7" a="1"/>
  <c r="T56" i="7" a="1"/>
  <c r="I56" i="7" a="1"/>
  <c r="G56" i="7" a="1"/>
  <c r="BR27" i="7" l="1"/>
  <c r="X78" i="7"/>
  <c r="X70" i="7"/>
  <c r="P79" i="7"/>
  <c r="S79" i="7"/>
  <c r="V79" i="7"/>
  <c r="M79" i="7"/>
  <c r="D79" i="7"/>
  <c r="G79" i="7"/>
  <c r="J79" i="7"/>
  <c r="G56" i="7"/>
  <c r="J56" i="7"/>
  <c r="S56" i="7"/>
  <c r="M56" i="7"/>
  <c r="Q56" i="7"/>
  <c r="T56" i="7"/>
  <c r="I56" i="7"/>
  <c r="N56" i="7"/>
  <c r="E56" i="7"/>
  <c r="D56" i="7"/>
  <c r="H56" i="7"/>
  <c r="F56" i="7"/>
  <c r="R56" i="7"/>
  <c r="C56" i="7"/>
  <c r="L56" i="7"/>
  <c r="P56" i="7"/>
  <c r="K56" i="7"/>
  <c r="O56" i="7"/>
  <c r="BS27" i="7"/>
  <c r="B57" i="7"/>
  <c r="BY5" i="7"/>
  <c r="CA3" i="7"/>
  <c r="CB3" i="7"/>
  <c r="H86" i="2"/>
  <c r="L78" i="2" s="1"/>
  <c r="H68" i="2"/>
  <c r="O57" i="7" a="1"/>
  <c r="E57" i="7" a="1"/>
  <c r="C57" i="7" a="1"/>
  <c r="G57" i="7" a="1"/>
  <c r="R57" i="7" a="1"/>
  <c r="H57" i="7" a="1"/>
  <c r="J57" i="7" a="1"/>
  <c r="Q57" i="7" a="1"/>
  <c r="L57" i="7" a="1"/>
  <c r="T57" i="7" a="1"/>
  <c r="D57" i="7" a="1"/>
  <c r="P57" i="7" a="1"/>
  <c r="F57" i="7" a="1"/>
  <c r="I57" i="7" a="1"/>
  <c r="S57" i="7" a="1"/>
  <c r="M57" i="7" a="1"/>
  <c r="N57" i="7" a="1"/>
  <c r="K57" i="7" a="1"/>
  <c r="BU19" i="7" a="1"/>
  <c r="X79" i="7" l="1"/>
  <c r="S80" i="7"/>
  <c r="P80" i="7"/>
  <c r="V80" i="7"/>
  <c r="D80" i="7"/>
  <c r="G80" i="7"/>
  <c r="J80" i="7"/>
  <c r="M80" i="7"/>
  <c r="Q57" i="7"/>
  <c r="K57" i="7"/>
  <c r="S57" i="7"/>
  <c r="H57" i="7"/>
  <c r="T57" i="7"/>
  <c r="N57" i="7"/>
  <c r="D57" i="7"/>
  <c r="P57" i="7"/>
  <c r="O57" i="7"/>
  <c r="L57" i="7"/>
  <c r="R57" i="7"/>
  <c r="E57" i="7"/>
  <c r="J57" i="7"/>
  <c r="G57" i="7"/>
  <c r="I57" i="7"/>
  <c r="C57" i="7"/>
  <c r="M57" i="7"/>
  <c r="F57" i="7"/>
  <c r="B58" i="7"/>
  <c r="B59" i="7" s="1"/>
  <c r="B60" i="7" s="1"/>
  <c r="B61" i="7" s="1"/>
  <c r="B62" i="7" s="1"/>
  <c r="B63" i="7" s="1"/>
  <c r="B64" i="7" s="1"/>
  <c r="BU19" i="7"/>
  <c r="L70" i="2"/>
  <c r="H64" i="7" a="1"/>
  <c r="N64" i="7" a="1"/>
  <c r="T60" i="7" a="1"/>
  <c r="I59" i="7" a="1"/>
  <c r="G61" i="7" a="1"/>
  <c r="G63" i="7" a="1"/>
  <c r="Q63" i="7" a="1"/>
  <c r="Q64" i="7" a="1"/>
  <c r="O62" i="7" a="1"/>
  <c r="M58" i="7" a="1"/>
  <c r="D60" i="7" a="1"/>
  <c r="T59" i="7" a="1"/>
  <c r="T61" i="7" a="1"/>
  <c r="K59" i="7" a="1"/>
  <c r="O59" i="7" a="1"/>
  <c r="M64" i="7" a="1"/>
  <c r="BR19" i="7" a="1"/>
  <c r="K61" i="7" a="1"/>
  <c r="O63" i="7" a="1"/>
  <c r="P64" i="7" a="1"/>
  <c r="L60" i="7" a="1"/>
  <c r="P59" i="7" a="1"/>
  <c r="C58" i="7" a="1"/>
  <c r="K64" i="7" a="1"/>
  <c r="I63" i="7" a="1"/>
  <c r="R60" i="7" a="1"/>
  <c r="M59" i="7" a="1"/>
  <c r="F62" i="7" a="1"/>
  <c r="C61" i="7" a="1"/>
  <c r="P60" i="7" a="1"/>
  <c r="S58" i="7" a="1"/>
  <c r="P63" i="7" a="1"/>
  <c r="R64" i="7" a="1"/>
  <c r="Q61" i="7" a="1"/>
  <c r="L64" i="7" a="1"/>
  <c r="R62" i="7" a="1"/>
  <c r="L62" i="7" a="1"/>
  <c r="H62" i="7" a="1"/>
  <c r="N60" i="7" a="1"/>
  <c r="Q59" i="7" a="1"/>
  <c r="F60" i="7" a="1"/>
  <c r="S61" i="7" a="1"/>
  <c r="H60" i="7" a="1"/>
  <c r="M61" i="7" a="1"/>
  <c r="R58" i="7" a="1"/>
  <c r="O61" i="7" a="1"/>
  <c r="C60" i="7" a="1"/>
  <c r="D62" i="7" a="1"/>
  <c r="E63" i="7" a="1"/>
  <c r="J62" i="7" a="1"/>
  <c r="N59" i="7" a="1"/>
  <c r="C59" i="7" a="1"/>
  <c r="R59" i="7" a="1"/>
  <c r="J64" i="7" a="1"/>
  <c r="O60" i="7" a="1"/>
  <c r="K62" i="7" a="1"/>
  <c r="T62" i="7" a="1"/>
  <c r="Q60" i="7" a="1"/>
  <c r="I62" i="7" a="1"/>
  <c r="S60" i="7" a="1"/>
  <c r="D59" i="7" a="1"/>
  <c r="J61" i="7" a="1"/>
  <c r="O64" i="7" a="1"/>
  <c r="K63" i="7" a="1"/>
  <c r="D58" i="7" a="1"/>
  <c r="T58" i="7" a="1"/>
  <c r="I64" i="7" a="1"/>
  <c r="G60" i="7" a="1"/>
  <c r="S63" i="7" a="1"/>
  <c r="M60" i="7" a="1"/>
  <c r="R61" i="7" a="1"/>
  <c r="H61" i="7" a="1"/>
  <c r="C63" i="7" a="1"/>
  <c r="S62" i="7" a="1"/>
  <c r="G58" i="7" a="1"/>
  <c r="H58" i="7" a="1"/>
  <c r="J63" i="7" a="1"/>
  <c r="F63" i="7" a="1"/>
  <c r="R63" i="7" a="1"/>
  <c r="E60" i="7" a="1"/>
  <c r="N61" i="7" a="1"/>
  <c r="J60" i="7" a="1"/>
  <c r="E58" i="7" a="1"/>
  <c r="N62" i="7" a="1"/>
  <c r="E64" i="7" a="1"/>
  <c r="S59" i="7" a="1"/>
  <c r="L63" i="7" a="1"/>
  <c r="M63" i="7" a="1"/>
  <c r="P61" i="7" a="1"/>
  <c r="N63" i="7" a="1"/>
  <c r="E59" i="7" a="1"/>
  <c r="F58" i="7" a="1"/>
  <c r="L58" i="7" a="1"/>
  <c r="G59" i="7" a="1"/>
  <c r="G62" i="7" a="1"/>
  <c r="I60" i="7" a="1"/>
  <c r="Q58" i="7" a="1"/>
  <c r="G64" i="7" a="1"/>
  <c r="N58" i="7" a="1"/>
  <c r="D63" i="7" a="1"/>
  <c r="H59" i="7" a="1"/>
  <c r="J59" i="7" a="1"/>
  <c r="P58" i="7" a="1"/>
  <c r="F64" i="7" a="1"/>
  <c r="D61" i="7" a="1"/>
  <c r="T64" i="7" a="1"/>
  <c r="K60" i="7" a="1"/>
  <c r="E61" i="7" a="1"/>
  <c r="L59" i="7" a="1"/>
  <c r="K58" i="7" a="1"/>
  <c r="J58" i="7" a="1"/>
  <c r="C64" i="7" a="1"/>
  <c r="F61" i="7" a="1"/>
  <c r="I58" i="7" a="1"/>
  <c r="D64" i="7" a="1"/>
  <c r="C62" i="7" a="1"/>
  <c r="S64" i="7" a="1"/>
  <c r="E62" i="7" a="1"/>
  <c r="L61" i="7" a="1"/>
  <c r="M62" i="7" a="1"/>
  <c r="Q62" i="7" a="1"/>
  <c r="H63" i="7" a="1"/>
  <c r="O58" i="7" a="1"/>
  <c r="I61" i="7" a="1"/>
  <c r="F59" i="7" a="1"/>
  <c r="P62" i="7" a="1"/>
  <c r="T63" i="7" a="1"/>
  <c r="BR19" i="7" l="1"/>
  <c r="G64" i="7"/>
  <c r="S64" i="7"/>
  <c r="C64" i="7"/>
  <c r="K64" i="7"/>
  <c r="O64" i="7"/>
  <c r="H64" i="7"/>
  <c r="T64" i="7"/>
  <c r="Q64" i="7"/>
  <c r="D64" i="7"/>
  <c r="L64" i="7"/>
  <c r="P64" i="7"/>
  <c r="E64" i="7"/>
  <c r="I64" i="7"/>
  <c r="M64" i="7"/>
  <c r="F64" i="7"/>
  <c r="J64" i="7"/>
  <c r="N64" i="7"/>
  <c r="R64" i="7"/>
  <c r="B65" i="7"/>
  <c r="O63" i="7"/>
  <c r="G63" i="7"/>
  <c r="K63" i="7"/>
  <c r="S63" i="7"/>
  <c r="C63" i="7"/>
  <c r="E63" i="7"/>
  <c r="I63" i="7"/>
  <c r="T63" i="7"/>
  <c r="Q63" i="7"/>
  <c r="P63" i="7"/>
  <c r="D63" i="7"/>
  <c r="R63" i="7"/>
  <c r="L63" i="7"/>
  <c r="J63" i="7"/>
  <c r="F63" i="7"/>
  <c r="M63" i="7"/>
  <c r="N63" i="7"/>
  <c r="H63" i="7"/>
  <c r="G62" i="7"/>
  <c r="C62" i="7"/>
  <c r="K62" i="7"/>
  <c r="O62" i="7"/>
  <c r="S62" i="7"/>
  <c r="P62" i="7"/>
  <c r="D62" i="7"/>
  <c r="H62" i="7"/>
  <c r="L62" i="7"/>
  <c r="T62" i="7"/>
  <c r="E62" i="7"/>
  <c r="I62" i="7"/>
  <c r="M62" i="7"/>
  <c r="Q62" i="7"/>
  <c r="F62" i="7"/>
  <c r="J62" i="7"/>
  <c r="N62" i="7"/>
  <c r="R62" i="7"/>
  <c r="R61" i="7"/>
  <c r="G61" i="7"/>
  <c r="K61" i="7"/>
  <c r="O61" i="7"/>
  <c r="S61" i="7"/>
  <c r="H61" i="7"/>
  <c r="L61" i="7"/>
  <c r="P61" i="7"/>
  <c r="T61" i="7"/>
  <c r="N61" i="7"/>
  <c r="E61" i="7"/>
  <c r="I61" i="7"/>
  <c r="M61" i="7"/>
  <c r="Q61" i="7"/>
  <c r="J61" i="7"/>
  <c r="F61" i="7"/>
  <c r="C61" i="7"/>
  <c r="D61" i="7"/>
  <c r="S60" i="7"/>
  <c r="D60" i="7"/>
  <c r="K60" i="7"/>
  <c r="T60" i="7"/>
  <c r="G60" i="7"/>
  <c r="P60" i="7"/>
  <c r="C60" i="7"/>
  <c r="L60" i="7"/>
  <c r="O60" i="7"/>
  <c r="H60" i="7"/>
  <c r="E60" i="7"/>
  <c r="I60" i="7"/>
  <c r="Q60" i="7"/>
  <c r="R60" i="7"/>
  <c r="N60" i="7"/>
  <c r="J60" i="7"/>
  <c r="F60" i="7"/>
  <c r="M60" i="7"/>
  <c r="S59" i="7"/>
  <c r="C59" i="7"/>
  <c r="O59" i="7"/>
  <c r="K59" i="7"/>
  <c r="G59" i="7"/>
  <c r="D59" i="7"/>
  <c r="J59" i="7"/>
  <c r="L59" i="7"/>
  <c r="F59" i="7"/>
  <c r="H59" i="7"/>
  <c r="E59" i="7"/>
  <c r="Q59" i="7"/>
  <c r="T59" i="7"/>
  <c r="M59" i="7"/>
  <c r="I59" i="7"/>
  <c r="R59" i="7"/>
  <c r="N59" i="7"/>
  <c r="P59" i="7"/>
  <c r="X80" i="7"/>
  <c r="V81" i="7"/>
  <c r="D81" i="7"/>
  <c r="S81" i="7"/>
  <c r="G81" i="7"/>
  <c r="J81" i="7"/>
  <c r="M81" i="7"/>
  <c r="P81" i="7"/>
  <c r="R58" i="7"/>
  <c r="H58" i="7"/>
  <c r="I58" i="7"/>
  <c r="C58" i="7"/>
  <c r="L58" i="7"/>
  <c r="K58" i="7"/>
  <c r="J58" i="7"/>
  <c r="E58" i="7"/>
  <c r="M58" i="7"/>
  <c r="G58" i="7"/>
  <c r="O58" i="7"/>
  <c r="D58" i="7"/>
  <c r="Q58" i="7"/>
  <c r="N58" i="7"/>
  <c r="F58" i="7"/>
  <c r="S58" i="7"/>
  <c r="P58" i="7"/>
  <c r="T58" i="7"/>
  <c r="BS19" i="7"/>
  <c r="H9" i="2"/>
  <c r="H73" i="2" s="1"/>
  <c r="H33" i="2"/>
  <c r="CA9" i="7" s="1"/>
  <c r="H55" i="2"/>
  <c r="CD3" i="7" s="1"/>
  <c r="H41" i="2"/>
  <c r="H105" i="2" s="1"/>
  <c r="L101" i="2" s="1"/>
  <c r="H19" i="2"/>
  <c r="BZ9" i="7" s="1"/>
  <c r="H18" i="2"/>
  <c r="H82" i="2" s="1"/>
  <c r="H35" i="2"/>
  <c r="H24" i="2"/>
  <c r="H88" i="2" s="1"/>
  <c r="H31" i="2"/>
  <c r="H37" i="2"/>
  <c r="CB9" i="7" s="1"/>
  <c r="H26" i="2"/>
  <c r="CA4" i="7" s="1"/>
  <c r="H21" i="2"/>
  <c r="H85" i="2" s="1"/>
  <c r="L82" i="2" s="1"/>
  <c r="H45" i="2"/>
  <c r="H109" i="2" s="1"/>
  <c r="H47" i="2"/>
  <c r="I65" i="7" a="1"/>
  <c r="D65" i="7" a="1"/>
  <c r="T65" i="7" a="1"/>
  <c r="K65" i="7" a="1"/>
  <c r="S65" i="7" a="1"/>
  <c r="N65" i="7" a="1"/>
  <c r="H65" i="7" a="1"/>
  <c r="Q65" i="7" a="1"/>
  <c r="G65" i="7" a="1"/>
  <c r="J65" i="7" a="1"/>
  <c r="C65" i="7" a="1"/>
  <c r="P65" i="7" a="1"/>
  <c r="E65" i="7" a="1"/>
  <c r="L65" i="7" a="1"/>
  <c r="R65" i="7" a="1"/>
  <c r="O65" i="7" a="1"/>
  <c r="M65" i="7" a="1"/>
  <c r="F65" i="7" a="1"/>
  <c r="J88" i="7" l="1"/>
  <c r="M88" i="7"/>
  <c r="P88" i="7"/>
  <c r="D88" i="7"/>
  <c r="S88" i="7"/>
  <c r="V88" i="7"/>
  <c r="G88" i="7"/>
  <c r="D65" i="7"/>
  <c r="R65" i="7"/>
  <c r="T65" i="7"/>
  <c r="Q65" i="7"/>
  <c r="N65" i="7"/>
  <c r="P65" i="7"/>
  <c r="O65" i="7"/>
  <c r="K65" i="7"/>
  <c r="G65" i="7"/>
  <c r="BZ34" i="7" s="1"/>
  <c r="J65" i="7"/>
  <c r="L65" i="7"/>
  <c r="C65" i="7"/>
  <c r="S65" i="7"/>
  <c r="CD24" i="7" s="1"/>
  <c r="F65" i="7"/>
  <c r="H65" i="7"/>
  <c r="M65" i="7"/>
  <c r="I65" i="7"/>
  <c r="E65" i="7"/>
  <c r="D86" i="7"/>
  <c r="G86" i="7"/>
  <c r="J86" i="7"/>
  <c r="M86" i="7"/>
  <c r="P86" i="7"/>
  <c r="S86" i="7"/>
  <c r="V86" i="7"/>
  <c r="V87" i="7"/>
  <c r="S87" i="7"/>
  <c r="D87" i="7"/>
  <c r="G87" i="7"/>
  <c r="J87" i="7"/>
  <c r="M87" i="7"/>
  <c r="P87" i="7"/>
  <c r="V85" i="7"/>
  <c r="D85" i="7"/>
  <c r="G85" i="7"/>
  <c r="J85" i="7"/>
  <c r="M85" i="7"/>
  <c r="S85" i="7"/>
  <c r="P85" i="7"/>
  <c r="D84" i="7"/>
  <c r="G84" i="7"/>
  <c r="P84" i="7"/>
  <c r="M84" i="7"/>
  <c r="S84" i="7"/>
  <c r="J84" i="7"/>
  <c r="V84" i="7"/>
  <c r="BZ17" i="7"/>
  <c r="BZ18" i="7"/>
  <c r="BZ19" i="7"/>
  <c r="BZ20" i="7"/>
  <c r="BZ21" i="7"/>
  <c r="BZ16" i="7"/>
  <c r="V83" i="7"/>
  <c r="S83" i="7"/>
  <c r="J83" i="7"/>
  <c r="G83" i="7"/>
  <c r="D83" i="7"/>
  <c r="M83" i="7"/>
  <c r="P83" i="7"/>
  <c r="X81" i="7"/>
  <c r="D82" i="7"/>
  <c r="V82" i="7"/>
  <c r="G82" i="7"/>
  <c r="J82" i="7"/>
  <c r="M82" i="7"/>
  <c r="P82" i="7"/>
  <c r="S82" i="7"/>
  <c r="H101" i="2"/>
  <c r="L104" i="2" s="1"/>
  <c r="H95" i="2"/>
  <c r="BZ7" i="7"/>
  <c r="H119" i="2"/>
  <c r="L118" i="2" s="1"/>
  <c r="H97" i="2"/>
  <c r="L94" i="2" s="1"/>
  <c r="CB6" i="7"/>
  <c r="H83" i="2"/>
  <c r="L84" i="2" s="1"/>
  <c r="H111" i="2"/>
  <c r="H99" i="2"/>
  <c r="H90" i="2"/>
  <c r="L89" i="2" s="1"/>
  <c r="BU18" i="7" a="1"/>
  <c r="CB25" i="7" l="1"/>
  <c r="X88" i="7"/>
  <c r="V89" i="7"/>
  <c r="G89" i="7"/>
  <c r="J89" i="7"/>
  <c r="D89" i="7"/>
  <c r="M89" i="7"/>
  <c r="S89" i="7"/>
  <c r="P89" i="7"/>
  <c r="CC30" i="7"/>
  <c r="CA28" i="7"/>
  <c r="X86" i="7"/>
  <c r="X87" i="7"/>
  <c r="BY26" i="7"/>
  <c r="BY33" i="7"/>
  <c r="CB18" i="7"/>
  <c r="CB38" i="7"/>
  <c r="CC37" i="7"/>
  <c r="CC36" i="7"/>
  <c r="CA21" i="7"/>
  <c r="CB16" i="7"/>
  <c r="CC15" i="7"/>
  <c r="CC19" i="7"/>
  <c r="CC33" i="7"/>
  <c r="CA18" i="7"/>
  <c r="CA17" i="7"/>
  <c r="CA16" i="7"/>
  <c r="CA20" i="7"/>
  <c r="CC21" i="7"/>
  <c r="CA19" i="7"/>
  <c r="CC18" i="7"/>
  <c r="CA34" i="7"/>
  <c r="CB17" i="7"/>
  <c r="CB36" i="7"/>
  <c r="CB20" i="7"/>
  <c r="CB34" i="7"/>
  <c r="CB39" i="7"/>
  <c r="CC27" i="7"/>
  <c r="CC39" i="7"/>
  <c r="BY21" i="7"/>
  <c r="CB15" i="7"/>
  <c r="CC17" i="7"/>
  <c r="CB33" i="7"/>
  <c r="CB35" i="7"/>
  <c r="CC28" i="7"/>
  <c r="CC35" i="7"/>
  <c r="CB19" i="7"/>
  <c r="CA15" i="7"/>
  <c r="CC26" i="7"/>
  <c r="BY15" i="7"/>
  <c r="BY36" i="7"/>
  <c r="BY35" i="7"/>
  <c r="BY39" i="7"/>
  <c r="CB21" i="7"/>
  <c r="CB37" i="7"/>
  <c r="CA35" i="7"/>
  <c r="CC24" i="7"/>
  <c r="CB26" i="7"/>
  <c r="CA39" i="7"/>
  <c r="CA38" i="7"/>
  <c r="CA36" i="7"/>
  <c r="CA37" i="7"/>
  <c r="CB30" i="7"/>
  <c r="CA27" i="7"/>
  <c r="CB28" i="7"/>
  <c r="CB24" i="7"/>
  <c r="CA30" i="7"/>
  <c r="CA29" i="7"/>
  <c r="CA24" i="7"/>
  <c r="CA26" i="7"/>
  <c r="CB27" i="7"/>
  <c r="CC34" i="7"/>
  <c r="BY25" i="7"/>
  <c r="BY24" i="7"/>
  <c r="CB29" i="7"/>
  <c r="CA25" i="7"/>
  <c r="X85" i="7"/>
  <c r="BZ29" i="7"/>
  <c r="BY38" i="7"/>
  <c r="BY28" i="7"/>
  <c r="BY19" i="7"/>
  <c r="BY18" i="7"/>
  <c r="BY37" i="7"/>
  <c r="BY27" i="7"/>
  <c r="CA33" i="7"/>
  <c r="BY29" i="7"/>
  <c r="BY17" i="7"/>
  <c r="BY20" i="7"/>
  <c r="CD37" i="7"/>
  <c r="BY30" i="7"/>
  <c r="CD29" i="7"/>
  <c r="BY16" i="7"/>
  <c r="BY34" i="7"/>
  <c r="BZ25" i="7"/>
  <c r="CD17" i="7"/>
  <c r="CD35" i="7"/>
  <c r="BZ39" i="7"/>
  <c r="CD28" i="7"/>
  <c r="CC25" i="7"/>
  <c r="BZ27" i="7"/>
  <c r="CD34" i="7"/>
  <c r="CD30" i="7"/>
  <c r="CC16" i="7"/>
  <c r="CD20" i="7"/>
  <c r="BZ36" i="7"/>
  <c r="CD26" i="7"/>
  <c r="BZ24" i="7"/>
  <c r="CD38" i="7"/>
  <c r="BZ35" i="7"/>
  <c r="CD15" i="7"/>
  <c r="BZ33" i="7"/>
  <c r="CD25" i="7"/>
  <c r="BZ30" i="7"/>
  <c r="CD21" i="7"/>
  <c r="CD33" i="7"/>
  <c r="BZ28" i="7"/>
  <c r="CD16" i="7"/>
  <c r="BZ37" i="7"/>
  <c r="BZ15" i="7"/>
  <c r="CD19" i="7"/>
  <c r="CD39" i="7"/>
  <c r="BZ38" i="7"/>
  <c r="BZ26" i="7"/>
  <c r="X84" i="7"/>
  <c r="S68" i="7"/>
  <c r="V68" i="7"/>
  <c r="D68" i="7"/>
  <c r="M68" i="7"/>
  <c r="J68" i="7"/>
  <c r="G68" i="7"/>
  <c r="P68" i="7"/>
  <c r="X83" i="7"/>
  <c r="X82" i="7"/>
  <c r="BU18" i="7"/>
  <c r="H8" i="2"/>
  <c r="H36" i="2"/>
  <c r="CB4" i="7" s="1"/>
  <c r="H34" i="2"/>
  <c r="H17" i="2"/>
  <c r="H81" i="2" s="1"/>
  <c r="L79" i="2" s="1"/>
  <c r="H57" i="2"/>
  <c r="H121" i="2" s="1"/>
  <c r="L123" i="2" s="1"/>
  <c r="H44" i="2"/>
  <c r="H108" i="2" s="1"/>
  <c r="L112" i="2" s="1"/>
  <c r="H46" i="2"/>
  <c r="CC9" i="7" s="1"/>
  <c r="H40" i="2"/>
  <c r="H58" i="2"/>
  <c r="H122" i="2" s="1"/>
  <c r="H27" i="2"/>
  <c r="H91" i="2" s="1"/>
  <c r="L92" i="2" s="1"/>
  <c r="H54" i="2"/>
  <c r="H118" i="2" s="1"/>
  <c r="H25" i="2"/>
  <c r="H89" i="2" s="1"/>
  <c r="H56" i="2"/>
  <c r="H120" i="2" s="1"/>
  <c r="H60" i="2"/>
  <c r="H124" i="2" s="1"/>
  <c r="H15" i="2"/>
  <c r="H79" i="2" s="1"/>
  <c r="H49" i="2"/>
  <c r="CC4" i="7" s="1"/>
  <c r="H14" i="2"/>
  <c r="H78" i="2" s="1"/>
  <c r="H10" i="2"/>
  <c r="H74" i="2" s="1"/>
  <c r="BR18" i="7" a="1"/>
  <c r="BR18" i="7" l="1"/>
  <c r="BS18" i="7" s="1"/>
  <c r="X89" i="7"/>
  <c r="CE24" i="7"/>
  <c r="CE28" i="7"/>
  <c r="CE29" i="7"/>
  <c r="CE26" i="7"/>
  <c r="CE30" i="7"/>
  <c r="CE27" i="7"/>
  <c r="CE25" i="7"/>
  <c r="CA7" i="7"/>
  <c r="CC7" i="7"/>
  <c r="CD8" i="7"/>
  <c r="H98" i="2"/>
  <c r="H100" i="2"/>
  <c r="L99" i="2" s="1"/>
  <c r="H72" i="2"/>
  <c r="L71" i="2" s="1"/>
  <c r="BY6" i="7"/>
  <c r="H104" i="2"/>
  <c r="H113" i="2"/>
  <c r="L109" i="2" s="1"/>
  <c r="BZ4" i="7"/>
  <c r="H110" i="2"/>
  <c r="L114" i="2" s="1"/>
  <c r="BU17" i="7" a="1"/>
  <c r="BU17" i="7" l="1"/>
  <c r="H7" i="2"/>
  <c r="BR17" i="7" a="1"/>
  <c r="BR17" i="7" l="1"/>
  <c r="BS17" i="7" s="1"/>
  <c r="BY4" i="7"/>
  <c r="H71" i="2"/>
  <c r="L69" i="2" s="1"/>
  <c r="BU16" i="7" a="1"/>
  <c r="BU16" i="7" l="1"/>
  <c r="H6" i="2"/>
  <c r="BR16" i="7" a="1"/>
  <c r="BR16" i="7" l="1"/>
  <c r="BS16" i="7" s="1"/>
  <c r="BY3" i="7"/>
  <c r="H70" i="2"/>
  <c r="L68" i="2" s="1"/>
  <c r="BU15" i="7" a="1"/>
  <c r="BU15" i="7" l="1"/>
  <c r="H63" i="2"/>
  <c r="CD4" i="7" s="1"/>
  <c r="H32" i="2"/>
  <c r="CA5" i="7" s="1"/>
  <c r="H62" i="2"/>
  <c r="CD9" i="7" s="1"/>
  <c r="H12" i="2"/>
  <c r="BY8" i="7" s="1"/>
  <c r="H51" i="2"/>
  <c r="H115" i="2" s="1"/>
  <c r="H23" i="2"/>
  <c r="BZ5" i="7" s="1"/>
  <c r="H43" i="2"/>
  <c r="CB8" i="7" s="1"/>
  <c r="H61" i="2"/>
  <c r="CD5" i="7" s="1"/>
  <c r="H48" i="2"/>
  <c r="H112" i="2" s="1"/>
  <c r="H52" i="2"/>
  <c r="CC3" i="7" s="1"/>
  <c r="CE3" i="7" s="1"/>
  <c r="H53" i="2"/>
  <c r="CC6" i="7" s="1"/>
  <c r="H59" i="2"/>
  <c r="CD7" i="7" s="1"/>
  <c r="H42" i="2"/>
  <c r="CB5" i="7" s="1"/>
  <c r="H13" i="2"/>
  <c r="BY7" i="7" s="1"/>
  <c r="H16" i="2"/>
  <c r="BZ8" i="7" s="1"/>
  <c r="H38" i="2"/>
  <c r="CB7" i="7" s="1"/>
  <c r="H28" i="2"/>
  <c r="CA8" i="7" s="1"/>
  <c r="H20" i="2"/>
  <c r="BZ6" i="7" s="1"/>
  <c r="H5" i="2"/>
  <c r="H30" i="2"/>
  <c r="CA6" i="7" s="1"/>
  <c r="BR15" i="7" a="1"/>
  <c r="BR15" i="7" l="1"/>
  <c r="BS15" i="7" s="1"/>
  <c r="CE6" i="7"/>
  <c r="H116" i="2"/>
  <c r="L108" i="2" s="1"/>
  <c r="BT31" i="7" s="1"/>
  <c r="H106" i="2"/>
  <c r="L100" i="2" s="1"/>
  <c r="H107" i="2"/>
  <c r="L103" i="2" s="1"/>
  <c r="H127" i="2"/>
  <c r="L119" i="2" s="1"/>
  <c r="L132" i="2" s="1"/>
  <c r="H92" i="2"/>
  <c r="L93" i="2" s="1"/>
  <c r="L110" i="2"/>
  <c r="CD10" i="7"/>
  <c r="CE4" i="7"/>
  <c r="H102" i="2"/>
  <c r="L102" i="2" s="1"/>
  <c r="H123" i="2"/>
  <c r="L122" i="2" s="1"/>
  <c r="H125" i="2"/>
  <c r="L120" i="2" s="1"/>
  <c r="CE8" i="7"/>
  <c r="BY9" i="7"/>
  <c r="CE9" i="7" s="1"/>
  <c r="H69" i="2"/>
  <c r="H64" i="2"/>
  <c r="H76" i="2"/>
  <c r="L73" i="2" s="1"/>
  <c r="H94" i="2"/>
  <c r="L91" i="2" s="1"/>
  <c r="H80" i="2"/>
  <c r="L83" i="2" s="1"/>
  <c r="H117" i="2"/>
  <c r="L111" i="2" s="1"/>
  <c r="CE7" i="7"/>
  <c r="H126" i="2"/>
  <c r="L124" i="2" s="1"/>
  <c r="H84" i="2"/>
  <c r="L81" i="2" s="1"/>
  <c r="H77" i="2"/>
  <c r="L72" i="2" s="1"/>
  <c r="BZ10" i="7"/>
  <c r="CA10" i="7"/>
  <c r="CB10" i="7"/>
  <c r="CC5" i="7"/>
  <c r="CC10" i="7" s="1"/>
  <c r="H87" i="2"/>
  <c r="L80" i="2" s="1"/>
  <c r="H96" i="2"/>
  <c r="L90" i="2" s="1"/>
  <c r="BT32" i="7" l="1"/>
  <c r="L105" i="2"/>
  <c r="L125" i="2"/>
  <c r="L131" i="2"/>
  <c r="CE5" i="7"/>
  <c r="CE10" i="7" s="1"/>
  <c r="CF10" i="7" s="1"/>
  <c r="L115" i="2"/>
  <c r="L95" i="2"/>
  <c r="L134" i="2"/>
  <c r="BT34" i="7"/>
  <c r="L133" i="2"/>
  <c r="BT33" i="7"/>
  <c r="L85" i="2"/>
  <c r="L74" i="2"/>
  <c r="L75" i="2" s="1"/>
  <c r="H128" i="2"/>
  <c r="BY10" i="7"/>
  <c r="L135" i="2"/>
  <c r="BT35" i="7"/>
  <c r="BT36" i="7"/>
  <c r="L136" i="2"/>
  <c r="BT37" i="7" l="1"/>
  <c r="L137" i="2"/>
  <c r="L138" i="2" l="1"/>
  <c r="BT38" i="7"/>
  <c r="BT39" i="7" l="1"/>
  <c r="BU38" i="7"/>
  <c r="BU31" i="7"/>
  <c r="BU32" i="7"/>
  <c r="BU36" i="7"/>
  <c r="BU35" i="7"/>
  <c r="BU33" i="7"/>
  <c r="BU34" i="7"/>
  <c r="M138" i="2"/>
  <c r="M131" i="2"/>
  <c r="M132" i="2"/>
  <c r="M136" i="2"/>
  <c r="M135" i="2"/>
  <c r="M134" i="2"/>
  <c r="M133" i="2"/>
  <c r="BU37" i="7"/>
  <c r="M137" i="2"/>
  <c r="BU46" i="7" l="1"/>
  <c r="BU47" i="7"/>
  <c r="BU45" i="7"/>
  <c r="BU43" i="7"/>
  <c r="BU42" i="7"/>
  <c r="BU44" i="7"/>
  <c r="BU48" i="7"/>
  <c r="B38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<sst xmlns="http://schemas.openxmlformats.org/spreadsheetml/2006/main" count="2886" uniqueCount="745">
  <si>
    <t>Affinity</t>
  </si>
  <si>
    <t>1 - Ancient</t>
  </si>
  <si>
    <t>2 - Classical</t>
  </si>
  <si>
    <t>3 - Medieval</t>
  </si>
  <si>
    <t>4 - Early Modern</t>
  </si>
  <si>
    <t>5 - Industrial</t>
  </si>
  <si>
    <t>6 - Contemporary</t>
  </si>
  <si>
    <t xml:space="preserve">Total </t>
  </si>
  <si>
    <t>Builder</t>
  </si>
  <si>
    <t>Agrarian</t>
  </si>
  <si>
    <t>Expansionist</t>
  </si>
  <si>
    <t>Militarist</t>
  </si>
  <si>
    <t>Merchant</t>
  </si>
  <si>
    <t>Scientist</t>
  </si>
  <si>
    <t>Humankind Culture Wiki</t>
  </si>
  <si>
    <t xml:space="preserve"> </t>
  </si>
  <si>
    <t>Era</t>
  </si>
  <si>
    <t>Name</t>
  </si>
  <si>
    <t>LT</t>
  </si>
  <si>
    <t>ED</t>
  </si>
  <si>
    <t>EU</t>
  </si>
  <si>
    <t>Assyrians</t>
  </si>
  <si>
    <t>Dunnu</t>
  </si>
  <si>
    <t>Assyrian Raiders</t>
  </si>
  <si>
    <t>Babylonians</t>
  </si>
  <si>
    <t>Astronomy House</t>
  </si>
  <si>
    <t>Sabu Sa Qasti</t>
  </si>
  <si>
    <t>Ancient Egyptians</t>
  </si>
  <si>
    <t>Egyptian Pyramid</t>
  </si>
  <si>
    <t>Markabata</t>
  </si>
  <si>
    <t>Harappans</t>
  </si>
  <si>
    <t>Canal Network</t>
  </si>
  <si>
    <t>Runner</t>
  </si>
  <si>
    <t>Hittites</t>
  </si>
  <si>
    <r>
      <rPr>
        <b/>
        <sz val="10"/>
        <color theme="1"/>
        <rFont val="Arial"/>
        <family val="2"/>
      </rPr>
      <t xml:space="preserve">Lust for War </t>
    </r>
    <r>
      <rPr>
        <sz val="10"/>
        <color theme="1"/>
        <rFont val="Arial"/>
        <family val="2"/>
      </rPr>
      <t>: +1 Combat Strength on Units</t>
    </r>
  </si>
  <si>
    <t>Awari</t>
  </si>
  <si>
    <t>Gigir</t>
  </si>
  <si>
    <t>Mycenaeans</t>
  </si>
  <si>
    <r>
      <rPr>
        <b/>
        <sz val="10"/>
        <color theme="1"/>
        <rFont val="Arial"/>
        <family val="2"/>
      </rPr>
      <t xml:space="preserve">Brutal Upbringing </t>
    </r>
    <r>
      <rPr>
        <sz val="10"/>
        <color theme="1"/>
        <rFont val="Arial"/>
        <family val="2"/>
      </rPr>
      <t>: -20% Unit Industry Cost, +25 Xp Creating Unit (LV1 Veterancy)</t>
    </r>
  </si>
  <si>
    <t>Cyclopean Fortress</t>
  </si>
  <si>
    <t>Promachoi</t>
  </si>
  <si>
    <t>Nubians</t>
  </si>
  <si>
    <t>Meroe Pyramids</t>
  </si>
  <si>
    <t>Ta-Seti Archers</t>
  </si>
  <si>
    <t>Olmecs</t>
  </si>
  <si>
    <r>
      <rPr>
        <b/>
        <sz val="10"/>
        <color theme="1"/>
        <rFont val="Arial"/>
        <family val="2"/>
      </rPr>
      <t xml:space="preserve">Natural Harmony </t>
    </r>
    <r>
      <rPr>
        <sz val="10"/>
        <color theme="1"/>
        <rFont val="Arial"/>
        <family val="2"/>
      </rPr>
      <t>: +1 Influence on Territory</t>
    </r>
  </si>
  <si>
    <t>Olmec Head</t>
  </si>
  <si>
    <t>Javelin Throwers</t>
  </si>
  <si>
    <t>Phoenicians</t>
  </si>
  <si>
    <r>
      <rPr>
        <b/>
        <sz val="10"/>
        <color theme="1"/>
        <rFont val="Arial"/>
        <family val="2"/>
      </rPr>
      <t xml:space="preserve">Trading Pioneers </t>
    </r>
    <r>
      <rPr>
        <sz val="10"/>
        <color theme="1"/>
        <rFont val="Arial"/>
        <family val="2"/>
      </rPr>
      <t>: +2 Money / Traders in City/Outpost</t>
    </r>
  </si>
  <si>
    <t>Haven</t>
  </si>
  <si>
    <t>Bireme</t>
  </si>
  <si>
    <t>Zhou</t>
  </si>
  <si>
    <r>
      <rPr>
        <b/>
        <sz val="10"/>
        <color theme="1"/>
        <rFont val="Arial"/>
        <family val="2"/>
      </rPr>
      <t xml:space="preserve">Harmonious Thought </t>
    </r>
    <r>
      <rPr>
        <sz val="10"/>
        <color theme="1"/>
        <rFont val="Arial"/>
        <family val="2"/>
      </rPr>
      <t>: +2 Stability on District</t>
    </r>
  </si>
  <si>
    <t>Confucian School</t>
  </si>
  <si>
    <t>Zhanche</t>
  </si>
  <si>
    <t>Achaemenid Persians</t>
  </si>
  <si>
    <r>
      <rPr>
        <b/>
        <sz val="10"/>
        <color theme="1"/>
        <rFont val="Arial"/>
        <family val="2"/>
      </rPr>
      <t xml:space="preserve">Cyrus's Shadow </t>
    </r>
    <r>
      <rPr>
        <sz val="10"/>
        <color theme="1"/>
        <rFont val="Arial"/>
        <family val="2"/>
      </rPr>
      <t>: +2 City Cap, +10 Stability on City/Outpost</t>
    </r>
  </si>
  <si>
    <t>Satrap Palace</t>
  </si>
  <si>
    <t>Immortals</t>
  </si>
  <si>
    <t>Aksumites</t>
  </si>
  <si>
    <r>
      <rPr>
        <b/>
        <sz val="10"/>
        <color theme="1"/>
        <rFont val="Arial"/>
        <family val="2"/>
      </rPr>
      <t xml:space="preserve">Horn of Plenty </t>
    </r>
    <r>
      <rPr>
        <sz val="10"/>
        <color theme="1"/>
        <rFont val="Arial"/>
        <family val="2"/>
      </rPr>
      <t>: +2 Money on Tile Making Money</t>
    </r>
  </si>
  <si>
    <t>Great Obelisk</t>
  </si>
  <si>
    <t>Shotelai</t>
  </si>
  <si>
    <t>Carthaginians</t>
  </si>
  <si>
    <r>
      <rPr>
        <b/>
        <sz val="10"/>
        <color theme="1"/>
        <rFont val="Arial"/>
        <family val="2"/>
      </rPr>
      <t xml:space="preserve">Hard Bargainers </t>
    </r>
    <r>
      <rPr>
        <sz val="10"/>
        <color theme="1"/>
        <rFont val="Arial"/>
        <family val="2"/>
      </rPr>
      <t>: Buyout for constructions -25% (More than stated)</t>
    </r>
  </si>
  <si>
    <t>Cothon</t>
  </si>
  <si>
    <t>War Elephant</t>
  </si>
  <si>
    <t>Celts</t>
  </si>
  <si>
    <r>
      <rPr>
        <b/>
        <sz val="10"/>
        <color theme="1"/>
        <rFont val="Arial"/>
        <family val="2"/>
      </rPr>
      <t xml:space="preserve">Druidic Lore </t>
    </r>
    <r>
      <rPr>
        <sz val="10"/>
        <color theme="1"/>
        <rFont val="Arial"/>
        <family val="2"/>
      </rPr>
      <t>: +2 Food/Farmer in City/Outpost</t>
    </r>
  </si>
  <si>
    <t>Nemeton</t>
  </si>
  <si>
    <t>Gaesati</t>
  </si>
  <si>
    <t>Goths</t>
  </si>
  <si>
    <r>
      <rPr>
        <b/>
        <sz val="10"/>
        <color theme="1"/>
        <rFont val="Arial"/>
        <family val="2"/>
      </rPr>
      <t xml:space="preserve">Nible Pillage </t>
    </r>
    <r>
      <rPr>
        <sz val="10"/>
        <color theme="1"/>
        <rFont val="Arial"/>
        <family val="2"/>
      </rPr>
      <t>: +10 Combat Str. From Ransacking on Unit, +2 Inf on Garrison</t>
    </r>
  </si>
  <si>
    <t>Tumulus</t>
  </si>
  <si>
    <t>Gothic Cavalry</t>
  </si>
  <si>
    <t>Greeks</t>
  </si>
  <si>
    <r>
      <rPr>
        <b/>
        <sz val="10"/>
        <color theme="1"/>
        <rFont val="Arial"/>
        <family val="2"/>
      </rPr>
      <t xml:space="preserve">Socratic Methods </t>
    </r>
    <r>
      <rPr>
        <sz val="10"/>
        <color theme="1"/>
        <rFont val="Arial"/>
        <family val="2"/>
      </rPr>
      <t>: +2 Science/Researcher in City/Outpost</t>
    </r>
  </si>
  <si>
    <t>Amphitheatron</t>
  </si>
  <si>
    <t>Hoplites</t>
  </si>
  <si>
    <t>Huns</t>
  </si>
  <si>
    <r>
      <rPr>
        <b/>
        <sz val="10"/>
        <color theme="1"/>
        <rFont val="Arial"/>
        <family val="2"/>
      </rPr>
      <t xml:space="preserve">Formidable Steeds </t>
    </r>
    <r>
      <rPr>
        <sz val="10"/>
        <color theme="1"/>
        <rFont val="Arial"/>
        <family val="2"/>
      </rPr>
      <t>: +2 Str on Cavalry (light and heavy)</t>
    </r>
  </si>
  <si>
    <t>Ordu</t>
  </si>
  <si>
    <t>Hunnic Horde</t>
  </si>
  <si>
    <t>Mauryans</t>
  </si>
  <si>
    <r>
      <rPr>
        <b/>
        <sz val="10"/>
        <color theme="1"/>
        <rFont val="Arial"/>
        <family val="2"/>
      </rPr>
      <t xml:space="preserve">Guiding Light </t>
    </r>
    <r>
      <rPr>
        <sz val="10"/>
        <color theme="1"/>
        <rFont val="Arial"/>
        <family val="2"/>
      </rPr>
      <t>: +1 Inf / Emblematic District. -10% Attach Outpost Cost</t>
    </r>
  </si>
  <si>
    <t>Stupa</t>
  </si>
  <si>
    <t>Samnahya</t>
  </si>
  <si>
    <t>Maya</t>
  </si>
  <si>
    <r>
      <rPr>
        <b/>
        <sz val="10"/>
        <color theme="1"/>
        <rFont val="Arial"/>
        <family val="2"/>
      </rPr>
      <t xml:space="preserve">Tireless Spirit </t>
    </r>
    <r>
      <rPr>
        <sz val="10"/>
        <color theme="1"/>
        <rFont val="Arial"/>
        <family val="2"/>
      </rPr>
      <t>: +2 Industry / Worker on city/Outpost</t>
    </r>
  </si>
  <si>
    <t>K'uh Nah</t>
  </si>
  <si>
    <t>Noble Javelineers</t>
  </si>
  <si>
    <t>Romans</t>
  </si>
  <si>
    <r>
      <rPr>
        <b/>
        <sz val="10"/>
        <color theme="1"/>
        <rFont val="Arial"/>
        <family val="2"/>
      </rPr>
      <t>Legion's Finest</t>
    </r>
    <r>
      <rPr>
        <sz val="10"/>
        <color theme="1"/>
        <rFont val="Arial"/>
        <family val="2"/>
      </rPr>
      <t xml:space="preserve"> : +1 Unit Slot for each Army, -30% Army Upkeep</t>
    </r>
  </si>
  <si>
    <t>Triumphal Arch</t>
  </si>
  <si>
    <t>Praetorian Guards</t>
  </si>
  <si>
    <t>Aztecs</t>
  </si>
  <si>
    <r>
      <rPr>
        <b/>
        <sz val="10"/>
        <color theme="1"/>
        <rFont val="Arial"/>
        <family val="2"/>
      </rPr>
      <t xml:space="preserve">Huitzilopochtil's Legacy </t>
    </r>
    <r>
      <rPr>
        <sz val="10"/>
        <color theme="1"/>
        <rFont val="Arial"/>
        <family val="2"/>
      </rPr>
      <t>: +2 Land Movement / Unit, -20% Unit Industry Cost</t>
    </r>
  </si>
  <si>
    <t>Sacrifical Altar</t>
  </si>
  <si>
    <t>Jaguar Warriors</t>
  </si>
  <si>
    <t>Byzantines</t>
  </si>
  <si>
    <r>
      <rPr>
        <b/>
        <sz val="10"/>
        <color theme="1"/>
        <rFont val="Arial"/>
        <family val="2"/>
      </rPr>
      <t xml:space="preserve">Master of Whispers </t>
    </r>
    <r>
      <rPr>
        <sz val="10"/>
        <color theme="1"/>
        <rFont val="Arial"/>
        <family val="2"/>
      </rPr>
      <t xml:space="preserve">: +5% Money / Alliance on Cities. </t>
    </r>
  </si>
  <si>
    <t>Hippodromos</t>
  </si>
  <si>
    <t>Varangian Guards</t>
  </si>
  <si>
    <t>English</t>
  </si>
  <si>
    <r>
      <rPr>
        <b/>
        <sz val="10"/>
        <color theme="1"/>
        <rFont val="Arial"/>
        <family val="2"/>
      </rPr>
      <t xml:space="preserve">Serf's Labor </t>
    </r>
    <r>
      <rPr>
        <sz val="10"/>
        <color theme="1"/>
        <rFont val="Arial"/>
        <family val="2"/>
      </rPr>
      <t>: +7 Food / Attached Territory to City/Outpost</t>
    </r>
  </si>
  <si>
    <t>Stronghold</t>
  </si>
  <si>
    <t>Longbowmen</t>
  </si>
  <si>
    <t>Franks</t>
  </si>
  <si>
    <r>
      <rPr>
        <b/>
        <sz val="10"/>
        <color theme="1"/>
        <rFont val="Arial"/>
        <family val="2"/>
      </rPr>
      <t xml:space="preserve">Crown Lands </t>
    </r>
    <r>
      <rPr>
        <sz val="10"/>
        <color theme="1"/>
        <rFont val="Arial"/>
        <family val="2"/>
      </rPr>
      <t>: +10% Influence</t>
    </r>
  </si>
  <si>
    <t>Scriptorium</t>
  </si>
  <si>
    <t>Franci Milites</t>
  </si>
  <si>
    <t>Ghanaians</t>
  </si>
  <si>
    <r>
      <rPr>
        <b/>
        <sz val="10"/>
        <color theme="1"/>
        <rFont val="Arial"/>
        <family val="2"/>
      </rPr>
      <t xml:space="preserve">Life of Luxury </t>
    </r>
    <r>
      <rPr>
        <sz val="10"/>
        <color theme="1"/>
        <rFont val="Arial"/>
        <family val="2"/>
      </rPr>
      <t>: +5 Money per access to Luxury / Strategic</t>
    </r>
  </si>
  <si>
    <t>Luxuries Market</t>
  </si>
  <si>
    <t>Meharists</t>
  </si>
  <si>
    <t>Khmer</t>
  </si>
  <si>
    <r>
      <rPr>
        <b/>
        <sz val="10"/>
        <color theme="1"/>
        <rFont val="Arial"/>
        <family val="2"/>
      </rPr>
      <t xml:space="preserve">Servants of Magnificence </t>
    </r>
    <r>
      <rPr>
        <sz val="10"/>
        <color theme="1"/>
        <rFont val="Arial"/>
        <family val="2"/>
      </rPr>
      <t>: +3 Industry / Makers Quarter</t>
    </r>
  </si>
  <si>
    <t>Baray</t>
  </si>
  <si>
    <t>Dhanvi-gaja</t>
  </si>
  <si>
    <t>Mongols</t>
  </si>
  <si>
    <r>
      <rPr>
        <b/>
        <sz val="10"/>
        <color theme="1"/>
        <rFont val="Arial"/>
        <family val="2"/>
      </rPr>
      <t xml:space="preserve">Mounted Mayhem </t>
    </r>
    <r>
      <rPr>
        <sz val="10"/>
        <color theme="1"/>
        <rFont val="Arial"/>
        <family val="2"/>
      </rPr>
      <t>: 100% Ransack on Army</t>
    </r>
  </si>
  <si>
    <t>Orda</t>
  </si>
  <si>
    <t>Mongol Horde</t>
  </si>
  <si>
    <t>Norsemen</t>
  </si>
  <si>
    <r>
      <rPr>
        <b/>
        <sz val="10"/>
        <color theme="1"/>
        <rFont val="Arial"/>
        <family val="2"/>
      </rPr>
      <t xml:space="preserve">Stormborn </t>
    </r>
    <r>
      <rPr>
        <sz val="10"/>
        <color theme="1"/>
        <rFont val="Arial"/>
        <family val="2"/>
      </rPr>
      <t>: +3 naval move/Units, +2 Combat Str Navy.</t>
    </r>
  </si>
  <si>
    <t>Naust</t>
  </si>
  <si>
    <t>Langskip</t>
  </si>
  <si>
    <t>Teutons</t>
  </si>
  <si>
    <r>
      <rPr>
        <b/>
        <sz val="10"/>
        <color theme="1"/>
        <rFont val="Arial"/>
        <family val="2"/>
      </rPr>
      <t xml:space="preserve">Spurred by Faith </t>
    </r>
    <r>
      <rPr>
        <sz val="10"/>
        <color theme="1"/>
        <rFont val="Arial"/>
        <family val="2"/>
      </rPr>
      <t>: +1 Money/Science per state Religion follower</t>
    </r>
  </si>
  <si>
    <t>Kaiserdom</t>
  </si>
  <si>
    <t>Teutonic Knights</t>
  </si>
  <si>
    <t>Umayyads</t>
  </si>
  <si>
    <r>
      <rPr>
        <b/>
        <sz val="10"/>
        <color theme="1"/>
        <rFont val="Arial"/>
        <family val="2"/>
      </rPr>
      <t xml:space="preserve">Learned Friends </t>
    </r>
    <r>
      <rPr>
        <sz val="10"/>
        <color theme="1"/>
        <rFont val="Arial"/>
        <family val="2"/>
      </rPr>
      <t>: +5% Science per Alliance/City</t>
    </r>
  </si>
  <si>
    <t>Grand Mosque</t>
  </si>
  <si>
    <t>Haras</t>
  </si>
  <si>
    <t>Dutch</t>
  </si>
  <si>
    <r>
      <rPr>
        <b/>
        <sz val="10"/>
        <color theme="1"/>
        <rFont val="Arial"/>
        <family val="2"/>
      </rPr>
      <t xml:space="preserve">Stock Wisdom </t>
    </r>
    <r>
      <rPr>
        <sz val="10"/>
        <color theme="1"/>
        <rFont val="Arial"/>
        <family val="2"/>
      </rPr>
      <t>: +1 Money/Population on City</t>
    </r>
  </si>
  <si>
    <t>V.O.C. Warehouse</t>
  </si>
  <si>
    <t>Fluyt</t>
  </si>
  <si>
    <t>Edo Japanese</t>
  </si>
  <si>
    <r>
      <rPr>
        <b/>
        <sz val="10"/>
        <color theme="1"/>
        <rFont val="Arial"/>
        <family val="2"/>
      </rPr>
      <t xml:space="preserve">Shogun's Authority </t>
    </r>
    <r>
      <rPr>
        <sz val="10"/>
        <color theme="1"/>
        <rFont val="Arial"/>
        <family val="2"/>
      </rPr>
      <t>: +1 Influence / Population on City/Outpost</t>
    </r>
  </si>
  <si>
    <t>Tera</t>
  </si>
  <si>
    <t>Naginata Samurai</t>
  </si>
  <si>
    <t>Haudenosaunee</t>
  </si>
  <si>
    <r>
      <rPr>
        <b/>
        <sz val="10"/>
        <color theme="1"/>
        <rFont val="Arial"/>
        <family val="2"/>
      </rPr>
      <t xml:space="preserve">Land of Plenty </t>
    </r>
    <r>
      <rPr>
        <sz val="10"/>
        <color theme="1"/>
        <rFont val="Arial"/>
        <family val="2"/>
      </rPr>
      <t>: +1 Food/Exploitation</t>
    </r>
  </si>
  <si>
    <t>Three Sisters Plantation</t>
  </si>
  <si>
    <t>Rotiskenrakehte</t>
  </si>
  <si>
    <t>Joseon</t>
  </si>
  <si>
    <r>
      <rPr>
        <b/>
        <sz val="10"/>
        <color theme="1"/>
        <rFont val="Arial"/>
        <family val="2"/>
      </rPr>
      <t xml:space="preserve">Hall of Wothies </t>
    </r>
    <r>
      <rPr>
        <sz val="10"/>
        <color theme="1"/>
        <rFont val="Arial"/>
        <family val="2"/>
      </rPr>
      <t>: +3 Science on Tile making Science</t>
    </r>
  </si>
  <si>
    <t>Seowon</t>
  </si>
  <si>
    <t>Geobukseon</t>
  </si>
  <si>
    <t>Ming</t>
  </si>
  <si>
    <r>
      <rPr>
        <b/>
        <sz val="10"/>
        <color theme="1"/>
        <rFont val="Arial"/>
        <family val="2"/>
      </rPr>
      <t xml:space="preserve">Grand Secretariat </t>
    </r>
    <r>
      <rPr>
        <sz val="10"/>
        <color theme="1"/>
        <rFont val="Arial"/>
        <family val="2"/>
      </rPr>
      <t>: -25% Cost of enacting/revoking Civics, +1 Inf / territory</t>
    </r>
  </si>
  <si>
    <t>Grand Teahouse</t>
  </si>
  <si>
    <t>Rocket Cart</t>
  </si>
  <si>
    <t>Mughals</t>
  </si>
  <si>
    <r>
      <rPr>
        <b/>
        <sz val="10"/>
        <color theme="1"/>
        <rFont val="Arial"/>
        <family val="2"/>
      </rPr>
      <t xml:space="preserve">Imperial Magnificence </t>
    </r>
    <r>
      <rPr>
        <sz val="10"/>
        <color theme="1"/>
        <rFont val="Arial"/>
        <family val="2"/>
      </rPr>
      <t>: +2% Industry per territories in capital.</t>
    </r>
  </si>
  <si>
    <t>Jama Masjid</t>
  </si>
  <si>
    <t>Gajnal</t>
  </si>
  <si>
    <t>Ottomans</t>
  </si>
  <si>
    <r>
      <rPr>
        <b/>
        <sz val="10"/>
        <color theme="1"/>
        <rFont val="Arial"/>
        <family val="2"/>
      </rPr>
      <t xml:space="preserve">Supremacy of Fire </t>
    </r>
    <r>
      <rPr>
        <sz val="10"/>
        <color theme="1"/>
        <rFont val="Arial"/>
        <family val="2"/>
      </rPr>
      <t>: -50% on heavy weapon Industry Cost, +3 Combat Str Hvy Wpn</t>
    </r>
  </si>
  <si>
    <t>Sultan Camii</t>
  </si>
  <si>
    <t>Janissaries</t>
  </si>
  <si>
    <t>Poles</t>
  </si>
  <si>
    <r>
      <rPr>
        <b/>
        <sz val="10"/>
        <color theme="1"/>
        <rFont val="Arial"/>
        <family val="2"/>
      </rPr>
      <t xml:space="preserve">Deadly Ramparts </t>
    </r>
    <r>
      <rPr>
        <sz val="10"/>
        <color theme="1"/>
        <rFont val="Arial"/>
        <family val="2"/>
      </rPr>
      <t>: +10 District Fortication, +2 Stability on District</t>
    </r>
  </si>
  <si>
    <t>Barbican</t>
  </si>
  <si>
    <t>Winged Hussars</t>
  </si>
  <si>
    <t>Spanish</t>
  </si>
  <si>
    <r>
      <rPr>
        <b/>
        <sz val="10"/>
        <color theme="1"/>
        <rFont val="Arial"/>
        <family val="2"/>
      </rPr>
      <t xml:space="preserve">Honor and Glory </t>
    </r>
    <r>
      <rPr>
        <sz val="10"/>
        <color theme="1"/>
        <rFont val="Arial"/>
        <family val="2"/>
      </rPr>
      <t>: +3 Combat Str when starting turn in non-allied territory</t>
    </r>
  </si>
  <si>
    <t>Catedral Gotica</t>
  </si>
  <si>
    <t>Conquistadores</t>
  </si>
  <si>
    <t>Venetians</t>
  </si>
  <si>
    <r>
      <rPr>
        <b/>
        <sz val="10"/>
        <color theme="1"/>
        <rFont val="Arial"/>
        <family val="2"/>
      </rPr>
      <t xml:space="preserve">Silver Tongues </t>
    </r>
    <r>
      <rPr>
        <sz val="10"/>
        <color theme="1"/>
        <rFont val="Arial"/>
        <family val="2"/>
      </rPr>
      <t>: +1 Money / Trade Route, +2 Money Naval Trade Route</t>
    </r>
  </si>
  <si>
    <t>Botteghe Di Artisti</t>
  </si>
  <si>
    <t>Galleass</t>
  </si>
  <si>
    <t>Austro-Hungarians</t>
  </si>
  <si>
    <r>
      <rPr>
        <b/>
        <sz val="10"/>
        <color theme="1"/>
        <rFont val="Arial"/>
        <family val="2"/>
      </rPr>
      <t xml:space="preserve">Emperor's Hand </t>
    </r>
    <r>
      <rPr>
        <sz val="10"/>
        <color theme="1"/>
        <rFont val="Arial"/>
        <family val="2"/>
      </rPr>
      <t>: +1 Inf on District/Emblematic District.</t>
    </r>
  </si>
  <si>
    <t>Opernhaus</t>
  </si>
  <si>
    <t>Evidenzbureau Agents</t>
  </si>
  <si>
    <t>British</t>
  </si>
  <si>
    <r>
      <rPr>
        <b/>
        <sz val="10"/>
        <color theme="1"/>
        <rFont val="Arial"/>
        <family val="2"/>
      </rPr>
      <t xml:space="preserve">Colonial Riches </t>
    </r>
    <r>
      <rPr>
        <sz val="10"/>
        <color theme="1"/>
        <rFont val="Arial"/>
        <family val="2"/>
      </rPr>
      <t>: +10 Money / Science per attached territory to Capital</t>
    </r>
  </si>
  <si>
    <t>Colonial Office</t>
  </si>
  <si>
    <t>Redcoats</t>
  </si>
  <si>
    <t>French</t>
  </si>
  <si>
    <r>
      <rPr>
        <b/>
        <sz val="10"/>
        <color theme="1"/>
        <rFont val="Arial"/>
        <family val="2"/>
      </rPr>
      <t xml:space="preserve">Enlightened Thinking </t>
    </r>
    <r>
      <rPr>
        <sz val="10"/>
        <color theme="1"/>
        <rFont val="Arial"/>
        <family val="2"/>
      </rPr>
      <t>: 10% Science on Cities</t>
    </r>
  </si>
  <si>
    <t>Exhibition Hall</t>
  </si>
  <si>
    <t>Cuirassiers</t>
  </si>
  <si>
    <t>Germans</t>
  </si>
  <si>
    <r>
      <rPr>
        <b/>
        <sz val="10"/>
        <color theme="1"/>
        <rFont val="Arial"/>
        <family val="2"/>
      </rPr>
      <t xml:space="preserve">Iron Ordnance </t>
    </r>
    <r>
      <rPr>
        <sz val="10"/>
        <color theme="1"/>
        <rFont val="Arial"/>
        <family val="2"/>
      </rPr>
      <t>: +3 Combat Str sea/air units, -20% Unit Industry Cost</t>
    </r>
  </si>
  <si>
    <t>Coking Works</t>
  </si>
  <si>
    <t>Uboat</t>
  </si>
  <si>
    <t>Italians</t>
  </si>
  <si>
    <r>
      <rPr>
        <b/>
        <sz val="10"/>
        <color theme="1"/>
        <rFont val="Arial"/>
        <family val="2"/>
      </rPr>
      <t xml:space="preserve">Inspiring Virtuosos </t>
    </r>
    <r>
      <rPr>
        <sz val="10"/>
        <color theme="1"/>
        <rFont val="Arial"/>
        <family val="2"/>
      </rPr>
      <t>: +10 Stability / +1 Inf / -50% cost Commons Quarter</t>
    </r>
  </si>
  <si>
    <t>Teatro</t>
  </si>
  <si>
    <t>Alpini</t>
  </si>
  <si>
    <t>Mexicans</t>
  </si>
  <si>
    <r>
      <rPr>
        <b/>
        <sz val="10"/>
        <color theme="1"/>
        <rFont val="Arial"/>
        <family val="2"/>
      </rPr>
      <t xml:space="preserve">Fields of Gold </t>
    </r>
    <r>
      <rPr>
        <sz val="10"/>
        <color theme="1"/>
        <rFont val="Arial"/>
        <family val="2"/>
      </rPr>
      <t>: 10% Food all cities</t>
    </r>
  </si>
  <si>
    <t>Hacienda</t>
  </si>
  <si>
    <t>Soldaderas</t>
  </si>
  <si>
    <t>Persians</t>
  </si>
  <si>
    <r>
      <rPr>
        <b/>
        <sz val="10"/>
        <color theme="1"/>
        <rFont val="Arial"/>
        <family val="2"/>
      </rPr>
      <t xml:space="preserve">Mighty Works </t>
    </r>
    <r>
      <rPr>
        <sz val="10"/>
        <color theme="1"/>
        <rFont val="Arial"/>
        <family val="2"/>
      </rPr>
      <t>: Shared Projects / Constructibles -25% Industry</t>
    </r>
  </si>
  <si>
    <t>Caravanserai</t>
  </si>
  <si>
    <t>Jazayerchis</t>
  </si>
  <si>
    <t>Russians</t>
  </si>
  <si>
    <r>
      <rPr>
        <b/>
        <sz val="10"/>
        <color theme="1"/>
        <rFont val="Arial"/>
        <family val="2"/>
      </rPr>
      <t xml:space="preserve">Land and Glory </t>
    </r>
    <r>
      <rPr>
        <sz val="10"/>
        <color theme="1"/>
        <rFont val="Arial"/>
        <family val="2"/>
      </rPr>
      <t>: +10 XP on unit / attached Territory on all cities, +10 War Support City Capture</t>
    </r>
  </si>
  <si>
    <t>Sobor</t>
  </si>
  <si>
    <t>Cossacks</t>
  </si>
  <si>
    <t>Siamese</t>
  </si>
  <si>
    <r>
      <rPr>
        <b/>
        <sz val="10"/>
        <color theme="1"/>
        <rFont val="Arial"/>
        <family val="2"/>
      </rPr>
      <t xml:space="preserve">Gilded Orchids </t>
    </r>
    <r>
      <rPr>
        <sz val="10"/>
        <color theme="1"/>
        <rFont val="Arial"/>
        <family val="2"/>
      </rPr>
      <t>: +3 Indistry per district in all cities, +1 Money / trade in cities</t>
    </r>
  </si>
  <si>
    <t>Floating Market</t>
  </si>
  <si>
    <t>Gatling Elephant</t>
  </si>
  <si>
    <t>Zulu</t>
  </si>
  <si>
    <r>
      <rPr>
        <b/>
        <sz val="10"/>
        <color theme="1"/>
        <rFont val="Arial"/>
        <family val="2"/>
      </rPr>
      <t xml:space="preserve">Warrior's Pride </t>
    </r>
    <r>
      <rPr>
        <sz val="10"/>
        <color theme="1"/>
        <rFont val="Arial"/>
        <family val="2"/>
      </rPr>
      <t>: +50% Health Regeneration on Unit. +2 Combat Str if in allied Territory</t>
    </r>
  </si>
  <si>
    <t>Warrior's Izindlu</t>
  </si>
  <si>
    <t>Impi</t>
  </si>
  <si>
    <t>Americans</t>
  </si>
  <si>
    <t>Defense Agency</t>
  </si>
  <si>
    <t>Lightning</t>
  </si>
  <si>
    <t>Australians</t>
  </si>
  <si>
    <r>
      <rPr>
        <b/>
        <sz val="10"/>
        <color theme="1"/>
        <rFont val="Arial"/>
        <family val="2"/>
      </rPr>
      <t xml:space="preserve">Dream Weavers </t>
    </r>
    <r>
      <rPr>
        <sz val="10"/>
        <color theme="1"/>
        <rFont val="Arial"/>
        <family val="2"/>
      </rPr>
      <t>: +20% industry  / cities</t>
    </r>
  </si>
  <si>
    <t>Strip Mining Complex</t>
  </si>
  <si>
    <t>All Terrain PMV</t>
  </si>
  <si>
    <t>Brazilians</t>
  </si>
  <si>
    <r>
      <rPr>
        <b/>
        <sz val="10"/>
        <color theme="1"/>
        <rFont val="Arial"/>
        <family val="2"/>
      </rPr>
      <t xml:space="preserve">Lungs of the Planet </t>
    </r>
    <r>
      <rPr>
        <sz val="10"/>
        <color theme="1"/>
        <rFont val="Arial"/>
        <family val="2"/>
      </rPr>
      <t>: +3 Food on Tile making Food</t>
    </r>
  </si>
  <si>
    <t>Agronomy Lab</t>
  </si>
  <si>
    <t>Jungle Brigades</t>
  </si>
  <si>
    <t>Chinese</t>
  </si>
  <si>
    <r>
      <rPr>
        <b/>
        <sz val="10"/>
        <color theme="1"/>
        <rFont val="Arial"/>
        <family val="2"/>
      </rPr>
      <t xml:space="preserve">Silk Railroad </t>
    </r>
    <r>
      <rPr>
        <sz val="10"/>
        <color theme="1"/>
        <rFont val="Arial"/>
        <family val="2"/>
      </rPr>
      <t>: +10% Money / Cities</t>
    </r>
  </si>
  <si>
    <t>People's Congress</t>
  </si>
  <si>
    <t>Guardians</t>
  </si>
  <si>
    <t>Egyptians</t>
  </si>
  <si>
    <r>
      <rPr>
        <b/>
        <sz val="10"/>
        <color theme="1"/>
        <rFont val="Arial"/>
        <family val="2"/>
      </rPr>
      <t xml:space="preserve">Valley of Kings </t>
    </r>
    <r>
      <rPr>
        <sz val="10"/>
        <color theme="1"/>
        <rFont val="Arial"/>
        <family val="2"/>
      </rPr>
      <t>: +4 Influence on ED</t>
    </r>
  </si>
  <si>
    <t>Archaeological Dig</t>
  </si>
  <si>
    <t>Free Officers</t>
  </si>
  <si>
    <t>Indians</t>
  </si>
  <si>
    <r>
      <rPr>
        <b/>
        <sz val="10"/>
        <color theme="1"/>
        <rFont val="Arial"/>
        <family val="2"/>
      </rPr>
      <t xml:space="preserve">Economic Elephant </t>
    </r>
    <r>
      <rPr>
        <sz val="10"/>
        <color theme="1"/>
        <rFont val="Arial"/>
        <family val="2"/>
      </rPr>
      <t>: +3 Inf on Territory. +10 Money / number of Territories in your sphere.</t>
    </r>
  </si>
  <si>
    <t>Ashram</t>
  </si>
  <si>
    <t>Peacekeepers</t>
  </si>
  <si>
    <t>Japanese</t>
  </si>
  <si>
    <t>Robotics Lab</t>
  </si>
  <si>
    <t>Reisen</t>
  </si>
  <si>
    <t>Soviets</t>
  </si>
  <si>
    <r>
      <rPr>
        <b/>
        <sz val="10"/>
        <color theme="1"/>
        <rFont val="Arial"/>
        <family val="2"/>
      </rPr>
      <t xml:space="preserve">Red Tide </t>
    </r>
    <r>
      <rPr>
        <sz val="10"/>
        <color theme="1"/>
        <rFont val="Arial"/>
        <family val="2"/>
      </rPr>
      <t>: -20% on Unit Industry Cost. +3 Combat Str. on Unit</t>
    </r>
  </si>
  <si>
    <t>Arms Factory</t>
  </si>
  <si>
    <t>Red Army Tank</t>
  </si>
  <si>
    <t>Swedes</t>
  </si>
  <si>
    <r>
      <rPr>
        <b/>
        <sz val="10"/>
        <color theme="1"/>
        <rFont val="Arial"/>
        <family val="2"/>
      </rPr>
      <t xml:space="preserve">Prize Science </t>
    </r>
    <r>
      <rPr>
        <sz val="10"/>
        <color theme="1"/>
        <rFont val="Arial"/>
        <family val="2"/>
      </rPr>
      <t>: +1 Science / District, +3 Science on Research quarter</t>
    </r>
  </si>
  <si>
    <t>Research Institute</t>
  </si>
  <si>
    <t>Stealth Corvette</t>
  </si>
  <si>
    <t>Turks</t>
  </si>
  <si>
    <r>
      <rPr>
        <b/>
        <sz val="10"/>
        <color theme="1"/>
        <rFont val="Arial"/>
        <family val="2"/>
      </rPr>
      <t xml:space="preserve">People's Reforms </t>
    </r>
    <r>
      <rPr>
        <sz val="10"/>
        <color theme="1"/>
        <rFont val="Arial"/>
        <family val="2"/>
      </rPr>
      <t>: +1 Food / Population in cities</t>
    </r>
  </si>
  <si>
    <t>Public School</t>
  </si>
  <si>
    <t>Stealthy Operative Missile</t>
  </si>
  <si>
    <t>0 - Nomadic</t>
  </si>
  <si>
    <t>Generic</t>
  </si>
  <si>
    <t>N/A</t>
  </si>
  <si>
    <t>Humankind Unit Wiki</t>
  </si>
  <si>
    <t>Culture</t>
  </si>
  <si>
    <t>Range</t>
  </si>
  <si>
    <t>Strength</t>
  </si>
  <si>
    <t>Move</t>
  </si>
  <si>
    <t>Move Type</t>
  </si>
  <si>
    <t>Main Class</t>
  </si>
  <si>
    <t>Sub Class / Special Rules</t>
  </si>
  <si>
    <t>Requires</t>
  </si>
  <si>
    <t>Pop</t>
  </si>
  <si>
    <t>Ind</t>
  </si>
  <si>
    <t>Upkeep</t>
  </si>
  <si>
    <t>Strategic</t>
  </si>
  <si>
    <t>Replace</t>
  </si>
  <si>
    <t>Tribe</t>
  </si>
  <si>
    <t>Land</t>
  </si>
  <si>
    <t>Nomad</t>
  </si>
  <si>
    <t>10 Health Regen</t>
  </si>
  <si>
    <t>Archer</t>
  </si>
  <si>
    <t>Ranged</t>
  </si>
  <si>
    <t>Indirect Fire : Can Shoot w/o LOS</t>
  </si>
  <si>
    <t>Carpentry</t>
  </si>
  <si>
    <t>Chariot</t>
  </si>
  <si>
    <t>Heavy Cavalry</t>
  </si>
  <si>
    <t>Wheel</t>
  </si>
  <si>
    <t>Scout Riders</t>
  </si>
  <si>
    <t>Cavalry</t>
  </si>
  <si>
    <t>Domestication</t>
  </si>
  <si>
    <t>1 Horse 2 Bronze</t>
  </si>
  <si>
    <t>Scouts</t>
  </si>
  <si>
    <t>Melee</t>
  </si>
  <si>
    <t>Pathfinder : Ignore Movement fr. Forests</t>
  </si>
  <si>
    <t>1 Horse</t>
  </si>
  <si>
    <t>Spearmen</t>
  </si>
  <si>
    <t>Anti-Cavalry</t>
  </si>
  <si>
    <t>Bronzeworking</t>
  </si>
  <si>
    <t>1 Bronze</t>
  </si>
  <si>
    <t>Warriors</t>
  </si>
  <si>
    <t>City Defense</t>
  </si>
  <si>
    <t>Horsemen</t>
  </si>
  <si>
    <t>Mounted Warfare</t>
  </si>
  <si>
    <t>2 Horse</t>
  </si>
  <si>
    <t>Swordsmen</t>
  </si>
  <si>
    <t>Standing Army</t>
  </si>
  <si>
    <t>1 Iron</t>
  </si>
  <si>
    <t>Crossbowmen</t>
  </si>
  <si>
    <t>War Summons</t>
  </si>
  <si>
    <t>Great Swordsmen</t>
  </si>
  <si>
    <t>Heavy Infantry</t>
  </si>
  <si>
    <t>2 Iron</t>
  </si>
  <si>
    <t>Knights</t>
  </si>
  <si>
    <t>Chivalry</t>
  </si>
  <si>
    <t>2 Horse 2 Iron</t>
  </si>
  <si>
    <t>Pikemen</t>
  </si>
  <si>
    <t>Saboteur</t>
  </si>
  <si>
    <t>Stealth : Cannot be seen by non-adjacent Units</t>
  </si>
  <si>
    <t>Guilds</t>
  </si>
  <si>
    <t>Arquebusiers</t>
  </si>
  <si>
    <t>Gunner</t>
  </si>
  <si>
    <t>Move Or Attack : Can't do both in 1 Combat Turn</t>
  </si>
  <si>
    <t>Gunpowder Warfare</t>
  </si>
  <si>
    <t>1 Iron 1 Saltpeter</t>
  </si>
  <si>
    <t>Halberdiers</t>
  </si>
  <si>
    <t>Centralized Power</t>
  </si>
  <si>
    <t>Mortar</t>
  </si>
  <si>
    <t>Heavy Weapon</t>
  </si>
  <si>
    <t>Indirect Shatter : Can attack w/o LOS. Can Attack Fortifications</t>
  </si>
  <si>
    <t>Siege Cannons</t>
  </si>
  <si>
    <t>2 Bronze 2 Saltpeter</t>
  </si>
  <si>
    <t>Musketeers</t>
  </si>
  <si>
    <t>Flintlock</t>
  </si>
  <si>
    <t>2 Iron 2 Saltpeter</t>
  </si>
  <si>
    <t>Settler</t>
  </si>
  <si>
    <t>Advanced Colony : Create City w/ Industry and 3 Pop, + Infstruct.</t>
  </si>
  <si>
    <t>Three-Masted Ship</t>
  </si>
  <si>
    <t>Dragoons</t>
  </si>
  <si>
    <t>Move and Fire : Can Attack then Full Move</t>
  </si>
  <si>
    <t>Carbine</t>
  </si>
  <si>
    <t>3 Horse 1 Saltpeter</t>
  </si>
  <si>
    <t>Heavy Machine Gun</t>
  </si>
  <si>
    <t>Suppression : Target Unit cannot move next Turn, - STR</t>
  </si>
  <si>
    <t>Trench Warfare</t>
  </si>
  <si>
    <t>Howitzer</t>
  </si>
  <si>
    <t>Shatter : Attack Fortification. Removes Dug In</t>
  </si>
  <si>
    <t>Military Coordination</t>
  </si>
  <si>
    <t>3 Bronze 3 Saltpeter</t>
  </si>
  <si>
    <t>Line Infantry</t>
  </si>
  <si>
    <t>Line Formation</t>
  </si>
  <si>
    <t>Partisans</t>
  </si>
  <si>
    <t>Guerilla Warfare</t>
  </si>
  <si>
    <t>Siege Artillery</t>
  </si>
  <si>
    <t>Bombard : Can Attack Districts / Units out of Battle. Removes Dug In</t>
  </si>
  <si>
    <t>1 Iron 2 Oil</t>
  </si>
  <si>
    <t>Anti-Aircraft Gun</t>
  </si>
  <si>
    <t>Armoured Vehicle</t>
  </si>
  <si>
    <t>Radar</t>
  </si>
  <si>
    <t>1 Iron 1 Aluminium</t>
  </si>
  <si>
    <t>Anti-Tank Gun</t>
  </si>
  <si>
    <t>Armor Piercing : + STR vs Armoured Vehicles / Armoured Vessels</t>
  </si>
  <si>
    <t>Continuous Track</t>
  </si>
  <si>
    <t>A.P.C.</t>
  </si>
  <si>
    <t>Composite Armor</t>
  </si>
  <si>
    <t>2 Iron 3 Oil</t>
  </si>
  <si>
    <t>Commandos</t>
  </si>
  <si>
    <t>Covert Ops</t>
  </si>
  <si>
    <t>Construction Team</t>
  </si>
  <si>
    <t>Modern City : City w/ 6 Pop and Industry, + Infrastructure</t>
  </si>
  <si>
    <t>Civil Engineering</t>
  </si>
  <si>
    <t>Helicopter Gunship</t>
  </si>
  <si>
    <t>Gunship</t>
  </si>
  <si>
    <t>Insurrection Theory</t>
  </si>
  <si>
    <t>2 Oil 3 Aluminium</t>
  </si>
  <si>
    <t>Main Battle Tank</t>
  </si>
  <si>
    <t>3 Iron 3 Oil 2 Uranium</t>
  </si>
  <si>
    <t>Medium Tank</t>
  </si>
  <si>
    <t>2 Iron 2 Oil</t>
  </si>
  <si>
    <t>Rifles</t>
  </si>
  <si>
    <t>Amphibious Warfare</t>
  </si>
  <si>
    <t>Pentekonter</t>
  </si>
  <si>
    <t>Sea</t>
  </si>
  <si>
    <t>Boarding Velssel</t>
  </si>
  <si>
    <t>Coastal Ship : Cannot spend more than 1 Turn in Deep Water</t>
  </si>
  <si>
    <t>Sailing</t>
  </si>
  <si>
    <t>Quadrireme</t>
  </si>
  <si>
    <t>Navigator : Damaged by Consecutive Turns Spent in Deep Water</t>
  </si>
  <si>
    <t>Foreign Outposts</t>
  </si>
  <si>
    <t>Transport Galley</t>
  </si>
  <si>
    <t>Naval Transport</t>
  </si>
  <si>
    <t>Trade Expeditions</t>
  </si>
  <si>
    <t>Cog</t>
  </si>
  <si>
    <t>Skilled Navigator : Reduced Damage from Deep Water</t>
  </si>
  <si>
    <t>Seafaring Mastery</t>
  </si>
  <si>
    <t>Caravel</t>
  </si>
  <si>
    <t>High Sea : Ignores Deep Water Damage</t>
  </si>
  <si>
    <t>Three Masted Ship</t>
  </si>
  <si>
    <t>Carrack</t>
  </si>
  <si>
    <t>Gun Platform</t>
  </si>
  <si>
    <t>Naval Artillery</t>
  </si>
  <si>
    <t>1 Saltpeter</t>
  </si>
  <si>
    <t>Man O' War</t>
  </si>
  <si>
    <t>3 Bronze 2 Saltpeter</t>
  </si>
  <si>
    <t>Privateers</t>
  </si>
  <si>
    <t>Privateer : Appears Neutral, does not cause Grievances</t>
  </si>
  <si>
    <t>EVENT</t>
  </si>
  <si>
    <t>Ironclad</t>
  </si>
  <si>
    <t>Armoured Vessel</t>
  </si>
  <si>
    <t>Inner Sea Mastodonte : +11 Combat Str. In Coastal Water</t>
  </si>
  <si>
    <t>Propeller</t>
  </si>
  <si>
    <t>3 Iron 3 Coal</t>
  </si>
  <si>
    <t>Steam Frigate</t>
  </si>
  <si>
    <t>2 Iron 2 Coal</t>
  </si>
  <si>
    <t>Torpedo Boat</t>
  </si>
  <si>
    <t>Torpedo Vessel</t>
  </si>
  <si>
    <t>Combustion Engine</t>
  </si>
  <si>
    <t>2 Iron 1 Oil</t>
  </si>
  <si>
    <t>Aircraft Carrier</t>
  </si>
  <si>
    <t>Naval Air Strategy</t>
  </si>
  <si>
    <t>3 Iron 2 Oil 1 Alum.</t>
  </si>
  <si>
    <t>Battleship</t>
  </si>
  <si>
    <t>3 Iron 2 Oil</t>
  </si>
  <si>
    <t>Landing Craft</t>
  </si>
  <si>
    <t>Quick Embark : Can Embark and Disembark instantly and attack</t>
  </si>
  <si>
    <t>Missile Cruiser</t>
  </si>
  <si>
    <t>Anti-Aircraft : Provides AA Power</t>
  </si>
  <si>
    <t>Computing</t>
  </si>
  <si>
    <t>3 Iron 3 Oil 2 Alum.</t>
  </si>
  <si>
    <t>Nuclear Submarine</t>
  </si>
  <si>
    <t>10 (?)</t>
  </si>
  <si>
    <t>Nuclear Fission</t>
  </si>
  <si>
    <t>3 Iron 2 Uranium</t>
  </si>
  <si>
    <t>Biplane</t>
  </si>
  <si>
    <t>Air</t>
  </si>
  <si>
    <t>Fighter</t>
  </si>
  <si>
    <t>Aeronautics</t>
  </si>
  <si>
    <t>1 Oil</t>
  </si>
  <si>
    <t>Cruise Missile</t>
  </si>
  <si>
    <t>Missile</t>
  </si>
  <si>
    <t>Rocket Science</t>
  </si>
  <si>
    <t>1 Oil 3 Alum. 1 Uran.</t>
  </si>
  <si>
    <t>Monoplane Fighter</t>
  </si>
  <si>
    <t>Aerial Warfare</t>
  </si>
  <si>
    <t>1 Oil 1 Alum.</t>
  </si>
  <si>
    <t>Multirole Fighter</t>
  </si>
  <si>
    <t>Multi Role Aircraft</t>
  </si>
  <si>
    <t>Fighter Jets</t>
  </si>
  <si>
    <t>3 Oil 3 Alum. 1 Uran.</t>
  </si>
  <si>
    <t>Nuclear Missile</t>
  </si>
  <si>
    <t>Nuclear Device : Detonates 1 Turn after Launch, causes Fallout</t>
  </si>
  <si>
    <t>Fission Test</t>
  </si>
  <si>
    <t>3 Oil 3 Alum. 2 Uran.</t>
  </si>
  <si>
    <t>Strategic Bomber</t>
  </si>
  <si>
    <t>Bomber</t>
  </si>
  <si>
    <t>1 Oil 2 Alum.</t>
  </si>
  <si>
    <t>Thermonuclear Missile</t>
  </si>
  <si>
    <t>Fusion Test</t>
  </si>
  <si>
    <t>3 oil 3 Alum. 3 Uran.</t>
  </si>
  <si>
    <t>Pillager : 10% More Money during Ransack vs. Outpost/Camp</t>
  </si>
  <si>
    <t>1 Horse 1 Bronze</t>
  </si>
  <si>
    <t>Ambusher : +4 Str on Forest Tiles</t>
  </si>
  <si>
    <t>Champion : +4 STR when attacking first round</t>
  </si>
  <si>
    <t>Guardian : +3 Str when on friendly District</t>
  </si>
  <si>
    <t>Exceptional Accuracy : Indirect Fire w/o Penalty</t>
  </si>
  <si>
    <t>Mandate of Heaven : +3 Str when Stability is High</t>
  </si>
  <si>
    <t>Fervor : No STR Penalty for HP loss</t>
  </si>
  <si>
    <t>Ransacker : +3 When Ransacking / Enemy District</t>
  </si>
  <si>
    <t>1 Horse 2 Iron</t>
  </si>
  <si>
    <t>Phalanx : +1 For Each Adjacent Phalanx Unit</t>
  </si>
  <si>
    <t>Multi-Move : Ignores zone of Control</t>
  </si>
  <si>
    <t>Bastion : +3 When Fighting from High Ground/Fortified</t>
  </si>
  <si>
    <t>Poison : -2 Move -1 Range on Poisoned Targets</t>
  </si>
  <si>
    <t>Tactical Superiority : +5 Str (Rear Atk) Whenever ally is adjacent to target</t>
  </si>
  <si>
    <t>Imperial Power</t>
  </si>
  <si>
    <t>Elephant Platform : Ignores Melee Penalty</t>
  </si>
  <si>
    <t>Grappler : Larger ZOC that cannot be Ignored</t>
  </si>
  <si>
    <t>Trample : +4 Str when attacking weaker Units.</t>
  </si>
  <si>
    <t>2 Bronze</t>
  </si>
  <si>
    <t>Military Architecture</t>
  </si>
  <si>
    <t>Heavy Charge : x2 Bonus (6) From Charge</t>
  </si>
  <si>
    <t>Knight</t>
  </si>
  <si>
    <t>Enforcers : Drains Additional Stability During Seige</t>
  </si>
  <si>
    <t>3 Horse</t>
  </si>
  <si>
    <t>Anti-Cavalry : +5 STR vs Cavalry</t>
  </si>
  <si>
    <t>Mogol Horde</t>
  </si>
  <si>
    <t>Proselyte : +3 STR against other religion</t>
  </si>
  <si>
    <t>Honor Code : Cannot Retreat</t>
  </si>
  <si>
    <t>El Dorado : x2 Money from Winning Battles/Ransacking</t>
  </si>
  <si>
    <t>Conveyor : + Move when starting in Allied Territory</t>
  </si>
  <si>
    <t>Ramming : + Move in Battle and +5 STR against Adjacent Targets</t>
  </si>
  <si>
    <t>Siege Mastery : +3 STR During Assault or Sortie</t>
  </si>
  <si>
    <t>3 Saltpeter</t>
  </si>
  <si>
    <t>Charge Master : Cannot Retaliate vs Charge from this Unit</t>
  </si>
  <si>
    <t>Cliffs Crosser : Can move over cliffs</t>
  </si>
  <si>
    <t>Heavier Charge : x3 STR (+9) when Charging</t>
  </si>
  <si>
    <t>3 Horse 2 Iron</t>
  </si>
  <si>
    <t>Sly : Ignore Hostile ZOC</t>
  </si>
  <si>
    <t>Unstoppable : +4 STR when attacking stronger units.</t>
  </si>
  <si>
    <t>Piercing : +5 STR When Attacking</t>
  </si>
  <si>
    <t>Expedition : Regenerates Health outside your territory</t>
  </si>
  <si>
    <t>Guerilla Fighters : Stealth Unit - Remains hidden even when attacking</t>
  </si>
  <si>
    <t>All-Terrain : Ignores Terrain Movement Penalties</t>
  </si>
  <si>
    <t>APC</t>
  </si>
  <si>
    <t>Anti-Colonialism : Allied units gain +3 STR when attacking Stronger Units</t>
  </si>
  <si>
    <t xml:space="preserve">Multi-Rocket Bombard : Can use Bombard 2x a Turn. </t>
  </si>
  <si>
    <t>2 Oil 1 Alum. 2 Uran.</t>
  </si>
  <si>
    <t>Jungle Brigade</t>
  </si>
  <si>
    <t>Master Ambusher : Larger Forest STR Bonus</t>
  </si>
  <si>
    <t>Ligtning</t>
  </si>
  <si>
    <t>Aerial Stealth : Can Preform Anonymous Airstrikes</t>
  </si>
  <si>
    <t>Peace Protector : + STR for each War declared on you.</t>
  </si>
  <si>
    <t>Field Repairs : Regenerates Health after a battle</t>
  </si>
  <si>
    <t>Light : Destroyed if a single attack ever removes more than 50% HP</t>
  </si>
  <si>
    <t>2 Oil 1 Aluminium</t>
  </si>
  <si>
    <t>Communication Satellites</t>
  </si>
  <si>
    <t>REPLACED</t>
  </si>
  <si>
    <t>Build Planner</t>
  </si>
  <si>
    <t>Build 1</t>
  </si>
  <si>
    <t>Build 2</t>
  </si>
  <si>
    <t>Build 3</t>
  </si>
  <si>
    <t>Build 4</t>
  </si>
  <si>
    <t>Build 5</t>
  </si>
  <si>
    <t>Culture Choice</t>
  </si>
  <si>
    <t>Build 6</t>
  </si>
  <si>
    <t>Build 7</t>
  </si>
  <si>
    <t>Build 8</t>
  </si>
  <si>
    <t>Build 9</t>
  </si>
  <si>
    <t>Build 10</t>
  </si>
  <si>
    <t>Unit Classes</t>
  </si>
  <si>
    <t>MoveType</t>
  </si>
  <si>
    <t>Emblematic District</t>
  </si>
  <si>
    <t>Emblematic Unit</t>
  </si>
  <si>
    <r>
      <t xml:space="preserve">Golden Dreams </t>
    </r>
    <r>
      <rPr>
        <sz val="10"/>
        <color theme="1"/>
        <rFont val="Arial"/>
        <family val="2"/>
      </rPr>
      <t>: +5 Money on Luxury / Strategic Deposit</t>
    </r>
  </si>
  <si>
    <t>Version</t>
  </si>
  <si>
    <t>Date</t>
  </si>
  <si>
    <t>Description of Change</t>
  </si>
  <si>
    <t>Initial version</t>
  </si>
  <si>
    <t>Tab organisation</t>
  </si>
  <si>
    <t>Cosmetic</t>
  </si>
  <si>
    <t>civilizations</t>
  </si>
  <si>
    <t>Total</t>
  </si>
  <si>
    <t>Total :</t>
  </si>
  <si>
    <t>Specific</t>
  </si>
  <si>
    <t>Aesthete</t>
  </si>
  <si>
    <t>Production Boost: convert a town's money and industry to science for 5 turns.</t>
  </si>
  <si>
    <t>Production Boost: convert a city's money and science into production for 5 turns.</t>
  </si>
  <si>
    <t>Mother's milk: population +1 for each territory in each city. Land of plenty: draws 1 population from each foreign adjacent territory.</t>
  </si>
  <si>
    <t>Can purchase instantly adjacent outpost or attached territory.</t>
  </si>
  <si>
    <t>Transform up to 4 populations of a city into a militia unit, they can then be restored to city.</t>
  </si>
  <si>
    <t>Influence bomb: convert a territory to your cultural influence. Tourism yields: increase cultural influence by 100% for 5 turns.</t>
  </si>
  <si>
    <t>Double gains of money when selling a resource. Halves cost of money when buying resources, which can be sold to other empires.</t>
  </si>
  <si>
    <t>Empire</t>
  </si>
  <si>
    <t>Legacy bonus</t>
  </si>
  <si>
    <t>Recommendation</t>
  </si>
  <si>
    <t xml:space="preserve">https://steamcommunity.com/sharedfiles/filedetails/?id=2584399792 </t>
  </si>
  <si>
    <t>8 Civilisations to choose from</t>
  </si>
  <si>
    <t>Next victory</t>
  </si>
  <si>
    <t>Japonais Tour 286 win1</t>
  </si>
  <si>
    <t>Suédois Tour 275 win2</t>
  </si>
  <si>
    <t>Égyptiens Tour 233 win3</t>
  </si>
  <si>
    <t>Choice</t>
  </si>
  <si>
    <t>Choice recorded</t>
  </si>
  <si>
    <t>Average</t>
  </si>
  <si>
    <t>Games :</t>
  </si>
  <si>
    <t>Suédois Tour 253 win4</t>
  </si>
  <si>
    <t>Suédois Tour 240 win5</t>
  </si>
  <si>
    <t>Égyptiens Tour 272 win6</t>
  </si>
  <si>
    <t>TOTAL</t>
  </si>
  <si>
    <t xml:space="preserve">Games </t>
  </si>
  <si>
    <t>%</t>
  </si>
  <si>
    <t>Total for all eras</t>
  </si>
  <si>
    <t>Australiens  Tour 432 win7</t>
  </si>
  <si>
    <t>eras</t>
  </si>
  <si>
    <t>General</t>
  </si>
  <si>
    <t>Hamlet (Sandbox)</t>
  </si>
  <si>
    <t>Town (Easy)</t>
  </si>
  <si>
    <t>Metropolis (Normal)</t>
  </si>
  <si>
    <t>(no bonuses or penalties on either humans or the AI)</t>
  </si>
  <si>
    <t>Nation (Hard)</t>
  </si>
  <si>
    <t>Empire (Serious)</t>
  </si>
  <si>
    <t>Civilization (Impossible)</t>
  </si>
  <si>
    <t>Humankind (Endless)</t>
  </si>
  <si>
    <t>AI modifiers according to William Dyce (Lead Game Designer)</t>
  </si>
  <si>
    <t>-25%</t>
  </si>
  <si>
    <t>-80%</t>
  </si>
  <si>
    <t>-10</t>
  </si>
  <si>
    <t>+50</t>
  </si>
  <si>
    <t>+2</t>
  </si>
  <si>
    <t>-10%</t>
  </si>
  <si>
    <t>-40%</t>
  </si>
  <si>
    <t>-5</t>
  </si>
  <si>
    <t>+25</t>
  </si>
  <si>
    <t>+1</t>
  </si>
  <si>
    <t>industry, money, food, culture, faith and science</t>
  </si>
  <si>
    <t>pollution</t>
  </si>
  <si>
    <t>fortification</t>
  </si>
  <si>
    <t>stability on human</t>
  </si>
  <si>
    <t>combat strength on human</t>
  </si>
  <si>
    <t>pollution on human</t>
  </si>
  <si>
    <t>-5%</t>
  </si>
  <si>
    <t>+5</t>
  </si>
  <si>
    <t>+5%</t>
  </si>
  <si>
    <t>+3</t>
  </si>
  <si>
    <t>+6</t>
  </si>
  <si>
    <t>-20%</t>
  </si>
  <si>
    <t>-15%</t>
  </si>
  <si>
    <t>time to convert territories to religion / culture (rounded up)</t>
  </si>
  <si>
    <t>population food consumption</t>
  </si>
  <si>
    <t>science</t>
  </si>
  <si>
    <t>industry per population</t>
  </si>
  <si>
    <t>industry, money and food</t>
  </si>
  <si>
    <t>stability</t>
  </si>
  <si>
    <t>unit upkeep</t>
  </si>
  <si>
    <t>buyout cost</t>
  </si>
  <si>
    <t>+10%</t>
  </si>
  <si>
    <t>+13</t>
  </si>
  <si>
    <t>+10</t>
  </si>
  <si>
    <t>-30%</t>
  </si>
  <si>
    <t>combat strength on units</t>
  </si>
  <si>
    <t>+15%</t>
  </si>
  <si>
    <t>+7</t>
  </si>
  <si>
    <t>+20</t>
  </si>
  <si>
    <t>+15</t>
  </si>
  <si>
    <t>-60%</t>
  </si>
  <si>
    <t>-50%</t>
  </si>
  <si>
    <t>-70%</t>
  </si>
  <si>
    <t>+25%</t>
  </si>
  <si>
    <t>+30</t>
  </si>
  <si>
    <t>Américains  Tour 449 win8</t>
  </si>
  <si>
    <t>Fame</t>
  </si>
  <si>
    <t>Best game computed</t>
  </si>
  <si>
    <t>Build</t>
  </si>
  <si>
    <t>Best culture</t>
  </si>
  <si>
    <t>Build nb :</t>
  </si>
  <si>
    <t xml:space="preserve">from a Steam's user : </t>
  </si>
  <si>
    <t>Suédois  Tour 440 win9</t>
  </si>
  <si>
    <t>tour :</t>
  </si>
  <si>
    <t>Nomadic</t>
  </si>
  <si>
    <t>Indiens  Tour 420 win10</t>
  </si>
  <si>
    <t>3+1</t>
  </si>
  <si>
    <t>7+1</t>
  </si>
  <si>
    <t>7 + 0</t>
  </si>
  <si>
    <t>Chinois  Tour 377 win11</t>
  </si>
  <si>
    <t>7 + 1</t>
  </si>
  <si>
    <t>Japonais  Tour 450 win12</t>
  </si>
  <si>
    <t>Fabius Maximus Patch [1.0.5.517]</t>
  </si>
  <si>
    <t>4 + 1</t>
  </si>
  <si>
    <t>[1.0.1.58]</t>
  </si>
  <si>
    <t>[1.0.2.116]</t>
  </si>
  <si>
    <t>[1.0.2.139]</t>
  </si>
  <si>
    <t xml:space="preserve">[1.0.3.253] </t>
  </si>
  <si>
    <r>
      <t xml:space="preserve">Raid Masters : </t>
    </r>
    <r>
      <rPr>
        <sz val="10"/>
        <color theme="1"/>
        <rFont val="Arial"/>
        <family val="2"/>
      </rPr>
      <t>+1 Land Move on Units, +5 Combat Str. When Ransacking</t>
    </r>
  </si>
  <si>
    <r>
      <t>Brilliant Philosophers :</t>
    </r>
    <r>
      <rPr>
        <sz val="10"/>
        <color theme="1"/>
        <rFont val="Arial"/>
        <family val="2"/>
      </rPr>
      <t xml:space="preserve"> +2 Science per Researched Tech</t>
    </r>
  </si>
  <si>
    <r>
      <t xml:space="preserve">Grand Planners : </t>
    </r>
    <r>
      <rPr>
        <sz val="10"/>
        <color theme="1"/>
        <rFont val="Arial"/>
        <family val="2"/>
      </rPr>
      <t>+1 Industry on Tile Making Industry, -10% Cost District Industry.</t>
    </r>
  </si>
  <si>
    <r>
      <t xml:space="preserve">Fertile Inundations : </t>
    </r>
    <r>
      <rPr>
        <sz val="10"/>
        <color theme="1"/>
        <rFont val="Arial"/>
        <family val="2"/>
      </rPr>
      <t>+1 Food on Tile Making Food, +1 Food on River</t>
    </r>
  </si>
  <si>
    <r>
      <t xml:space="preserve">American Exceptionalism : </t>
    </r>
    <r>
      <rPr>
        <sz val="10"/>
        <color theme="1"/>
        <rFont val="Arial"/>
        <family val="2"/>
      </rPr>
      <t>+10 Inf on resources sold / +1 Money from Trade</t>
    </r>
  </si>
  <si>
    <r>
      <t>Blossoming Innovation :</t>
    </r>
    <r>
      <rPr>
        <sz val="10"/>
        <color theme="1"/>
        <rFont val="Arial"/>
        <family val="2"/>
      </rPr>
      <t xml:space="preserve"> -20% on all Tech cost when researching</t>
    </r>
  </si>
  <si>
    <t>Fabius Maximus Patch</t>
  </si>
  <si>
    <t>[1.0.5.517]</t>
  </si>
  <si>
    <t>Patch list</t>
  </si>
  <si>
    <t>Verify Total Games number.</t>
  </si>
  <si>
    <t>Brésiliens  Tour 360 win13</t>
  </si>
  <si>
    <t>Turcs  Tour 450 win14</t>
  </si>
  <si>
    <t>Score average per culture type</t>
  </si>
  <si>
    <t>Type</t>
  </si>
  <si>
    <t>Nom</t>
  </si>
  <si>
    <t>Min</t>
  </si>
  <si>
    <t>Max</t>
  </si>
  <si>
    <t>Build nb</t>
  </si>
  <si>
    <t>GAME config</t>
  </si>
  <si>
    <t>ERA score</t>
  </si>
  <si>
    <t>Minimum</t>
  </si>
  <si>
    <t>Maximum</t>
  </si>
  <si>
    <t>Number of games</t>
  </si>
  <si>
    <t>All</t>
  </si>
  <si>
    <t>ERA delta</t>
  </si>
  <si>
    <t>[1.0.5.549]</t>
  </si>
  <si>
    <t>minor patch</t>
  </si>
  <si>
    <t>Fabius Maximus Patch PLUS [1.0.5.549]</t>
  </si>
  <si>
    <t>3 + 1</t>
  </si>
  <si>
    <t>Games</t>
  </si>
  <si>
    <t>Use more defined names</t>
  </si>
  <si>
    <t>Soviétiques  Tour 368 win15</t>
  </si>
  <si>
    <t>2 + 1</t>
  </si>
  <si>
    <t>Indiens  Tour 379 win16</t>
  </si>
  <si>
    <t>Indiens  Tour 444 win17</t>
  </si>
  <si>
    <t>Égyptiens  Tour 351 win18</t>
  </si>
  <si>
    <t>A  F  F  I  N  I  T  Y</t>
  </si>
  <si>
    <t>Added table affinity/era</t>
  </si>
  <si>
    <t>E R A</t>
  </si>
  <si>
    <t>Comment</t>
  </si>
  <si>
    <t>J²G</t>
  </si>
  <si>
    <t>Own build plan</t>
  </si>
  <si>
    <t>Build created</t>
  </si>
  <si>
    <t>Graphics for my choices</t>
  </si>
  <si>
    <t>Cosmetic on names</t>
  </si>
  <si>
    <t>My Choice</t>
  </si>
  <si>
    <t>Tab description</t>
  </si>
  <si>
    <t>Description of units with strength, range and move</t>
  </si>
  <si>
    <t>Score of the selected cultures build</t>
  </si>
  <si>
    <t>Cover:</t>
  </si>
  <si>
    <t>Cultures:</t>
  </si>
  <si>
    <t>Units:</t>
  </si>
  <si>
    <t>Build:</t>
  </si>
  <si>
    <t>Cultures features + my  selection of played culture</t>
  </si>
  <si>
    <t>Miscellaneous data</t>
  </si>
  <si>
    <t>Misc:</t>
  </si>
  <si>
    <t>Update range of the defined names used in formulas if needed.</t>
  </si>
  <si>
    <t xml:space="preserve">Units initially taken from here : </t>
  </si>
  <si>
    <t xml:space="preserve">Cultures initially taken from here : </t>
  </si>
  <si>
    <t>Notes</t>
  </si>
  <si>
    <t>There is a color code for affinity and another one for eras</t>
  </si>
  <si>
    <t>Difficulty (to be reviewed…)</t>
  </si>
  <si>
    <t>wins</t>
  </si>
  <si>
    <t>Legacy Trait</t>
  </si>
  <si>
    <t>zardozardoz</t>
  </si>
  <si>
    <t>Large</t>
  </si>
  <si>
    <t>Incremental</t>
  </si>
  <si>
    <t>Update "Incremental" table in "Build" tab.</t>
  </si>
  <si>
    <t>Turcs  Tour 379 win19</t>
  </si>
  <si>
    <t>affinities</t>
  </si>
  <si>
    <t>cultues each turn</t>
  </si>
  <si>
    <t>Huge</t>
  </si>
  <si>
    <t>Japonais  Tour 449 win20</t>
  </si>
  <si>
    <t>from lowest</t>
  </si>
  <si>
    <t>to highest</t>
  </si>
  <si>
    <t>Color legend</t>
  </si>
  <si>
    <t>Culture choice</t>
  </si>
  <si>
    <t>This tab with all fixed parameters</t>
  </si>
  <si>
    <t>not allowed</t>
  </si>
  <si>
    <t>Author:</t>
  </si>
  <si>
    <t>Instructions</t>
  </si>
  <si>
    <t>In Build tab, add a new bloc of after last Build nb.</t>
  </si>
  <si>
    <t>Enter selected cultures along with with score rating.</t>
  </si>
  <si>
    <t>Verify formula of Best culture when adding new score.</t>
  </si>
  <si>
    <t>Humankind's Hall of Fame</t>
  </si>
  <si>
    <t>total cultures</t>
  </si>
  <si>
    <t>Ready to share</t>
  </si>
  <si>
    <t>competitors</t>
  </si>
  <si>
    <t>Normal</t>
  </si>
  <si>
    <t>Slow</t>
  </si>
  <si>
    <t>Américains  Tour 354 win21</t>
  </si>
  <si>
    <t>land %</t>
  </si>
  <si>
    <t>nb contin. + NW</t>
  </si>
  <si>
    <t>world</t>
  </si>
  <si>
    <t>pace</t>
  </si>
  <si>
    <t>file name</t>
  </si>
  <si>
    <t>difficulty</t>
  </si>
  <si>
    <t>strateg resource</t>
  </si>
  <si>
    <t>luxury resource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</si>
</sst>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color rgb="FF000000"/>
      <name val="Arial"/>
    </font>
    <font>
      <sz val="10"/>
      <color theme="1"/>
      <name val="Arial"/>
      <family val="2"/>
    </font>
    <font>
      <u/>
      <sz val="10"/>
      <color rgb="FF1155CC"/>
      <name val="Arial"/>
      <family val="2"/>
    </font>
    <font>
      <b/>
      <sz val="10"/>
      <color theme="1"/>
      <name val="Arial"/>
      <family val="2"/>
    </font>
    <font>
      <sz val="10"/>
      <color rgb="FFD9D9D9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7" tint="-0.249977111117893"/>
      <name val="Arial"/>
      <family val="2"/>
    </font>
    <font>
      <b/>
      <sz val="10"/>
      <color theme="4" tint="-0.249977111117893"/>
      <name val="Arial"/>
      <family val="2"/>
    </font>
    <font>
      <b/>
      <sz val="10"/>
      <color theme="8" tint="-0.249977111117893"/>
      <name val="Arial"/>
      <family val="2"/>
    </font>
    <font>
      <sz val="10"/>
      <name val="Arial"/>
      <family val="2"/>
    </font>
    <font>
      <b/>
      <sz val="20"/>
      <color rgb="FFFF000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i/>
      <sz val="8"/>
      <color rgb="FF00000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i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6"/>
      <color rgb="FF000000"/>
      <name val="Arial"/>
      <family val="2"/>
    </font>
    <font>
      <b/>
      <sz val="10"/>
      <color rgb="FF0070C0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sz val="8"/>
      <color rgb="FFFFFFFF"/>
      <name val="Arial"/>
      <family val="2"/>
    </font>
    <font>
      <u/>
      <sz val="10"/>
      <color rgb="FFFF0000"/>
      <name val="Arial"/>
      <family val="2"/>
    </font>
    <font>
      <i/>
      <u/>
      <sz val="10"/>
      <color rgb="FFFF0000"/>
      <name val="Arial"/>
      <family val="2"/>
    </font>
    <font>
      <sz val="10"/>
      <color rgb="FFFFFFFF"/>
      <name val="Arial"/>
      <family val="2"/>
    </font>
    <font>
      <sz val="10"/>
      <color theme="2"/>
      <name val="Arial"/>
      <family val="2"/>
    </font>
    <font>
      <sz val="8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666666"/>
        <bgColor rgb="FF666666"/>
      </patternFill>
    </fill>
    <fill>
      <patternFill patternType="solid">
        <fgColor rgb="FFFCE5CD"/>
        <bgColor rgb="FFFCE5CD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rgb="FFD9EAD3"/>
      </patternFill>
    </fill>
    <fill>
      <patternFill patternType="solid">
        <fgColor theme="9" tint="0.79998168889431442"/>
        <bgColor rgb="FFD0E0E3"/>
      </patternFill>
    </fill>
    <fill>
      <patternFill patternType="solid">
        <fgColor theme="5" tint="0.79998168889431442"/>
        <bgColor rgb="FFF4CCCC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499984740745262"/>
        <bgColor rgb="FF666666"/>
      </patternFill>
    </fill>
    <fill>
      <patternFill patternType="solid">
        <fgColor rgb="FFCCCCFF"/>
        <bgColor rgb="FFD9D2E9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99"/>
        <bgColor rgb="FF666666"/>
      </patternFill>
    </fill>
    <fill>
      <patternFill patternType="solid">
        <fgColor rgb="FFFFF2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0" fontId="16" fillId="0" borderId="0" applyNumberFormat="0" applyFill="0" applyBorder="0" applyAlignment="0" applyProtection="0"/>
    <xf numFmtId="9" fontId="20" fillId="0" borderId="0" applyFont="0" applyFill="0" applyBorder="0" applyAlignment="0" applyProtection="0"/>
  </cellStyleXfs>
  <cellXfs count="612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2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0" xfId="0" applyFont="1" applyFill="1" applyAlignment="1"/>
    <xf numFmtId="0" fontId="1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5" fillId="18" borderId="4" xfId="0" applyFont="1" applyFill="1" applyBorder="1" applyAlignment="1">
      <alignment horizontal="center" vertical="center"/>
    </xf>
    <xf numFmtId="0" fontId="5" fillId="18" borderId="6" xfId="0" applyFont="1" applyFill="1" applyBorder="1" applyAlignment="1">
      <alignment horizontal="center" vertical="center"/>
    </xf>
    <xf numFmtId="0" fontId="5" fillId="18" borderId="5" xfId="0" applyFont="1" applyFill="1" applyBorder="1" applyAlignment="1">
      <alignment horizontal="center" vertical="center"/>
    </xf>
    <xf numFmtId="0" fontId="5" fillId="18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/>
    </xf>
    <xf numFmtId="0" fontId="1" fillId="8" borderId="17" xfId="0" applyFont="1" applyFill="1" applyBorder="1" applyAlignment="1">
      <alignment horizontal="center"/>
    </xf>
    <xf numFmtId="0" fontId="5" fillId="18" borderId="18" xfId="0" applyFont="1" applyFill="1" applyBorder="1" applyAlignment="1">
      <alignment horizontal="center" vertical="center"/>
    </xf>
    <xf numFmtId="0" fontId="5" fillId="18" borderId="19" xfId="0" applyFont="1" applyFill="1" applyBorder="1" applyAlignment="1">
      <alignment horizontal="center" vertical="center"/>
    </xf>
    <xf numFmtId="0" fontId="5" fillId="18" borderId="20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/>
    </xf>
    <xf numFmtId="0" fontId="1" fillId="8" borderId="23" xfId="0" applyFont="1" applyFill="1" applyBorder="1" applyAlignment="1">
      <alignment horizontal="center"/>
    </xf>
    <xf numFmtId="0" fontId="1" fillId="8" borderId="24" xfId="0" applyFont="1" applyFill="1" applyBorder="1" applyAlignment="1">
      <alignment horizontal="center"/>
    </xf>
    <xf numFmtId="0" fontId="1" fillId="8" borderId="25" xfId="0" applyFont="1" applyFill="1" applyBorder="1" applyAlignment="1">
      <alignment horizontal="center"/>
    </xf>
    <xf numFmtId="0" fontId="0" fillId="0" borderId="0" xfId="0"/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18" borderId="23" xfId="0" applyFont="1" applyFill="1" applyBorder="1" applyAlignment="1">
      <alignment horizontal="center" vertical="center"/>
    </xf>
    <xf numFmtId="0" fontId="0" fillId="18" borderId="24" xfId="0" applyFont="1" applyFill="1" applyBorder="1" applyAlignment="1">
      <alignment horizontal="center" vertical="center"/>
    </xf>
    <xf numFmtId="0" fontId="0" fillId="18" borderId="2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13" borderId="21" xfId="0" applyFont="1" applyFill="1" applyBorder="1" applyAlignment="1">
      <alignment horizontal="center" vertical="center"/>
    </xf>
    <xf numFmtId="0" fontId="1" fillId="14" borderId="21" xfId="0" applyFont="1" applyFill="1" applyBorder="1" applyAlignment="1">
      <alignment horizontal="center" vertical="center"/>
    </xf>
    <xf numFmtId="0" fontId="1" fillId="11" borderId="21" xfId="0" applyFont="1" applyFill="1" applyBorder="1" applyAlignment="1">
      <alignment horizontal="center" vertical="center"/>
    </xf>
    <xf numFmtId="0" fontId="1" fillId="15" borderId="21" xfId="0" applyFont="1" applyFill="1" applyBorder="1" applyAlignment="1">
      <alignment horizontal="center" vertical="center"/>
    </xf>
    <xf numFmtId="0" fontId="1" fillId="12" borderId="21" xfId="0" applyFont="1" applyFill="1" applyBorder="1" applyAlignment="1">
      <alignment horizontal="center" vertical="center"/>
    </xf>
    <xf numFmtId="0" fontId="1" fillId="16" borderId="21" xfId="0" applyFont="1" applyFill="1" applyBorder="1" applyAlignment="1">
      <alignment horizontal="center" vertical="center"/>
    </xf>
    <xf numFmtId="0" fontId="1" fillId="18" borderId="23" xfId="0" applyFont="1" applyFill="1" applyBorder="1" applyAlignment="1">
      <alignment horizontal="right" vertical="center"/>
    </xf>
    <xf numFmtId="0" fontId="5" fillId="18" borderId="12" xfId="0" applyFont="1" applyFill="1" applyBorder="1" applyAlignment="1">
      <alignment horizontal="center" vertical="center"/>
    </xf>
    <xf numFmtId="0" fontId="3" fillId="18" borderId="20" xfId="0" applyFont="1" applyFill="1" applyBorder="1" applyAlignment="1">
      <alignment horizontal="center" vertical="center"/>
    </xf>
    <xf numFmtId="0" fontId="1" fillId="0" borderId="21" xfId="0" applyFont="1" applyBorder="1" applyAlignment="1"/>
    <xf numFmtId="0" fontId="1" fillId="0" borderId="23" xfId="0" applyFont="1" applyBorder="1" applyAlignment="1"/>
    <xf numFmtId="0" fontId="1" fillId="0" borderId="17" xfId="0" applyFont="1" applyBorder="1" applyAlignment="1">
      <alignment horizontal="center" vertical="center"/>
    </xf>
    <xf numFmtId="0" fontId="3" fillId="18" borderId="19" xfId="0" applyFont="1" applyFill="1" applyBorder="1" applyAlignment="1">
      <alignment horizontal="center" vertical="center"/>
    </xf>
    <xf numFmtId="0" fontId="3" fillId="18" borderId="24" xfId="0" applyFont="1" applyFill="1" applyBorder="1" applyAlignment="1">
      <alignment horizontal="center" vertical="center"/>
    </xf>
    <xf numFmtId="0" fontId="3" fillId="18" borderId="25" xfId="0" applyFont="1" applyFill="1" applyBorder="1" applyAlignment="1">
      <alignment horizontal="center" vertical="center"/>
    </xf>
    <xf numFmtId="0" fontId="3" fillId="0" borderId="7" xfId="0" applyFont="1" applyBorder="1" applyAlignment="1"/>
    <xf numFmtId="0" fontId="1" fillId="0" borderId="11" xfId="0" applyFont="1" applyBorder="1" applyAlignment="1">
      <alignment horizontal="center" vertical="center"/>
    </xf>
    <xf numFmtId="0" fontId="14" fillId="0" borderId="0" xfId="0" applyFont="1" applyAlignment="1"/>
    <xf numFmtId="0" fontId="14" fillId="0" borderId="0" xfId="0" applyFont="1" applyFill="1" applyBorder="1" applyAlignment="1"/>
    <xf numFmtId="0" fontId="1" fillId="21" borderId="3" xfId="0" applyFont="1" applyFill="1" applyBorder="1" applyAlignment="1">
      <alignment horizontal="center"/>
    </xf>
    <xf numFmtId="0" fontId="1" fillId="21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 vertical="center"/>
    </xf>
    <xf numFmtId="0" fontId="0" fillId="0" borderId="28" xfId="0" applyFont="1" applyBorder="1" applyAlignment="1"/>
    <xf numFmtId="0" fontId="0" fillId="0" borderId="0" xfId="0" applyFont="1" applyBorder="1" applyAlignment="1"/>
    <xf numFmtId="0" fontId="1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17" fillId="7" borderId="23" xfId="0" applyFont="1" applyFill="1" applyBorder="1" applyAlignment="1">
      <alignment horizontal="center"/>
    </xf>
    <xf numFmtId="0" fontId="17" fillId="7" borderId="16" xfId="0" applyFont="1" applyFill="1" applyBorder="1" applyAlignment="1">
      <alignment horizontal="center" vertical="center"/>
    </xf>
    <xf numFmtId="0" fontId="0" fillId="0" borderId="30" xfId="0" applyFont="1" applyBorder="1" applyAlignment="1"/>
    <xf numFmtId="0" fontId="0" fillId="0" borderId="10" xfId="0" applyFont="1" applyBorder="1" applyAlignment="1"/>
    <xf numFmtId="0" fontId="0" fillId="0" borderId="9" xfId="0" applyFont="1" applyBorder="1" applyAlignment="1"/>
    <xf numFmtId="0" fontId="17" fillId="7" borderId="22" xfId="0" applyFont="1" applyFill="1" applyBorder="1" applyAlignment="1">
      <alignment horizontal="center"/>
    </xf>
    <xf numFmtId="0" fontId="3" fillId="18" borderId="22" xfId="0" applyFont="1" applyFill="1" applyBorder="1" applyAlignment="1">
      <alignment horizontal="center" vertical="center"/>
    </xf>
    <xf numFmtId="0" fontId="1" fillId="18" borderId="2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/>
    <xf numFmtId="0" fontId="14" fillId="18" borderId="21" xfId="0" applyFont="1" applyFill="1" applyBorder="1" applyAlignment="1">
      <alignment horizontal="center" vertical="center"/>
    </xf>
    <xf numFmtId="0" fontId="1" fillId="0" borderId="17" xfId="0" applyFont="1" applyBorder="1" applyAlignment="1"/>
    <xf numFmtId="0" fontId="1" fillId="0" borderId="24" xfId="0" applyFont="1" applyBorder="1" applyAlignment="1"/>
    <xf numFmtId="0" fontId="1" fillId="0" borderId="25" xfId="0" applyFont="1" applyFill="1" applyBorder="1" applyAlignment="1">
      <alignment horizontal="center" vertical="center"/>
    </xf>
    <xf numFmtId="0" fontId="5" fillId="18" borderId="8" xfId="0" applyFont="1" applyFill="1" applyBorder="1" applyAlignment="1">
      <alignment horizontal="center" vertical="center"/>
    </xf>
    <xf numFmtId="0" fontId="5" fillId="18" borderId="48" xfId="0" applyFont="1" applyFill="1" applyBorder="1" applyAlignment="1">
      <alignment horizontal="center" vertical="center"/>
    </xf>
    <xf numFmtId="0" fontId="5" fillId="18" borderId="49" xfId="0" applyFont="1" applyFill="1" applyBorder="1" applyAlignment="1">
      <alignment horizontal="center" vertical="center"/>
    </xf>
    <xf numFmtId="0" fontId="5" fillId="18" borderId="50" xfId="0" applyFont="1" applyFill="1" applyBorder="1" applyAlignment="1">
      <alignment horizontal="center" vertical="center"/>
    </xf>
    <xf numFmtId="0" fontId="1" fillId="22" borderId="17" xfId="0" applyFont="1" applyFill="1" applyBorder="1" applyAlignment="1">
      <alignment horizontal="center"/>
    </xf>
    <xf numFmtId="0" fontId="3" fillId="0" borderId="17" xfId="0" applyFont="1" applyBorder="1" applyAlignment="1"/>
    <xf numFmtId="0" fontId="1" fillId="22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vertical="center"/>
    </xf>
    <xf numFmtId="0" fontId="3" fillId="0" borderId="19" xfId="0" applyFont="1" applyBorder="1" applyAlignment="1"/>
    <xf numFmtId="0" fontId="1" fillId="0" borderId="19" xfId="0" applyFont="1" applyBorder="1" applyAlignment="1"/>
    <xf numFmtId="0" fontId="1" fillId="13" borderId="20" xfId="0" applyFont="1" applyFill="1" applyBorder="1" applyAlignment="1">
      <alignment horizontal="center"/>
    </xf>
    <xf numFmtId="0" fontId="1" fillId="22" borderId="21" xfId="0" applyFont="1" applyFill="1" applyBorder="1" applyAlignment="1">
      <alignment horizontal="center"/>
    </xf>
    <xf numFmtId="0" fontId="1" fillId="13" borderId="22" xfId="0" applyFont="1" applyFill="1" applyBorder="1" applyAlignment="1">
      <alignment horizontal="center"/>
    </xf>
    <xf numFmtId="0" fontId="3" fillId="0" borderId="24" xfId="0" applyFont="1" applyBorder="1" applyAlignment="1"/>
    <xf numFmtId="0" fontId="1" fillId="22" borderId="35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 vertical="center"/>
    </xf>
    <xf numFmtId="0" fontId="3" fillId="0" borderId="36" xfId="0" applyFont="1" applyBorder="1" applyAlignment="1"/>
    <xf numFmtId="0" fontId="1" fillId="0" borderId="36" xfId="0" applyFont="1" applyBorder="1" applyAlignment="1"/>
    <xf numFmtId="0" fontId="1" fillId="13" borderId="37" xfId="0" applyFont="1" applyFill="1" applyBorder="1" applyAlignment="1">
      <alignment horizontal="center"/>
    </xf>
    <xf numFmtId="0" fontId="1" fillId="23" borderId="18" xfId="0" applyFont="1" applyFill="1" applyBorder="1" applyAlignment="1">
      <alignment horizontal="center"/>
    </xf>
    <xf numFmtId="0" fontId="1" fillId="14" borderId="20" xfId="0" applyFont="1" applyFill="1" applyBorder="1" applyAlignment="1">
      <alignment horizontal="center"/>
    </xf>
    <xf numFmtId="0" fontId="1" fillId="23" borderId="21" xfId="0" applyFont="1" applyFill="1" applyBorder="1" applyAlignment="1">
      <alignment horizontal="center"/>
    </xf>
    <xf numFmtId="0" fontId="1" fillId="14" borderId="22" xfId="0" applyFont="1" applyFill="1" applyBorder="1" applyAlignment="1">
      <alignment horizontal="center"/>
    </xf>
    <xf numFmtId="0" fontId="1" fillId="23" borderId="35" xfId="0" applyFont="1" applyFill="1" applyBorder="1" applyAlignment="1">
      <alignment horizontal="center"/>
    </xf>
    <xf numFmtId="0" fontId="1" fillId="14" borderId="37" xfId="0" applyFont="1" applyFill="1" applyBorder="1" applyAlignment="1">
      <alignment horizontal="center"/>
    </xf>
    <xf numFmtId="0" fontId="1" fillId="28" borderId="18" xfId="0" applyFont="1" applyFill="1" applyBorder="1" applyAlignment="1">
      <alignment horizontal="center"/>
    </xf>
    <xf numFmtId="0" fontId="1" fillId="29" borderId="20" xfId="0" applyFont="1" applyFill="1" applyBorder="1" applyAlignment="1">
      <alignment horizontal="center"/>
    </xf>
    <xf numFmtId="0" fontId="1" fillId="28" borderId="21" xfId="0" applyFont="1" applyFill="1" applyBorder="1" applyAlignment="1">
      <alignment horizontal="center"/>
    </xf>
    <xf numFmtId="0" fontId="1" fillId="29" borderId="22" xfId="0" applyFont="1" applyFill="1" applyBorder="1" applyAlignment="1">
      <alignment horizontal="center"/>
    </xf>
    <xf numFmtId="0" fontId="1" fillId="28" borderId="35" xfId="0" applyFont="1" applyFill="1" applyBorder="1" applyAlignment="1">
      <alignment horizontal="center"/>
    </xf>
    <xf numFmtId="0" fontId="1" fillId="29" borderId="37" xfId="0" applyFont="1" applyFill="1" applyBorder="1" applyAlignment="1">
      <alignment horizontal="center"/>
    </xf>
    <xf numFmtId="0" fontId="1" fillId="24" borderId="18" xfId="0" applyFont="1" applyFill="1" applyBorder="1" applyAlignment="1">
      <alignment horizontal="center"/>
    </xf>
    <xf numFmtId="0" fontId="1" fillId="15" borderId="20" xfId="0" applyFont="1" applyFill="1" applyBorder="1" applyAlignment="1">
      <alignment horizontal="center"/>
    </xf>
    <xf numFmtId="0" fontId="1" fillId="24" borderId="21" xfId="0" applyFont="1" applyFill="1" applyBorder="1" applyAlignment="1">
      <alignment horizontal="center"/>
    </xf>
    <xf numFmtId="0" fontId="1" fillId="15" borderId="22" xfId="0" applyFont="1" applyFill="1" applyBorder="1" applyAlignment="1">
      <alignment horizontal="center"/>
    </xf>
    <xf numFmtId="0" fontId="1" fillId="24" borderId="35" xfId="0" applyFont="1" applyFill="1" applyBorder="1" applyAlignment="1">
      <alignment horizontal="center"/>
    </xf>
    <xf numFmtId="0" fontId="1" fillId="15" borderId="37" xfId="0" applyFont="1" applyFill="1" applyBorder="1" applyAlignment="1">
      <alignment horizontal="center"/>
    </xf>
    <xf numFmtId="0" fontId="1" fillId="25" borderId="18" xfId="0" applyFont="1" applyFill="1" applyBorder="1" applyAlignment="1">
      <alignment horizontal="center"/>
    </xf>
    <xf numFmtId="0" fontId="1" fillId="17" borderId="20" xfId="0" applyFont="1" applyFill="1" applyBorder="1" applyAlignment="1">
      <alignment horizontal="center"/>
    </xf>
    <xf numFmtId="0" fontId="1" fillId="25" borderId="21" xfId="0" applyFont="1" applyFill="1" applyBorder="1" applyAlignment="1">
      <alignment horizontal="center"/>
    </xf>
    <xf numFmtId="0" fontId="1" fillId="17" borderId="22" xfId="0" applyFont="1" applyFill="1" applyBorder="1" applyAlignment="1">
      <alignment horizontal="center"/>
    </xf>
    <xf numFmtId="0" fontId="1" fillId="25" borderId="35" xfId="0" applyFont="1" applyFill="1" applyBorder="1" applyAlignment="1">
      <alignment horizontal="center"/>
    </xf>
    <xf numFmtId="0" fontId="1" fillId="17" borderId="37" xfId="0" applyFont="1" applyFill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51" xfId="0" applyFont="1" applyFill="1" applyBorder="1" applyAlignment="1">
      <alignment horizontal="center" vertical="center"/>
    </xf>
    <xf numFmtId="0" fontId="3" fillId="0" borderId="51" xfId="0" applyFont="1" applyBorder="1" applyAlignment="1"/>
    <xf numFmtId="0" fontId="1" fillId="0" borderId="51" xfId="0" applyFont="1" applyBorder="1" applyAlignment="1"/>
    <xf numFmtId="0" fontId="3" fillId="30" borderId="14" xfId="0" applyFont="1" applyFill="1" applyBorder="1" applyAlignment="1">
      <alignment horizontal="center"/>
    </xf>
    <xf numFmtId="0" fontId="17" fillId="27" borderId="18" xfId="0" applyFont="1" applyFill="1" applyBorder="1" applyAlignment="1">
      <alignment horizontal="center"/>
    </xf>
    <xf numFmtId="0" fontId="1" fillId="26" borderId="20" xfId="0" applyFont="1" applyFill="1" applyBorder="1" applyAlignment="1">
      <alignment horizontal="center"/>
    </xf>
    <xf numFmtId="0" fontId="17" fillId="27" borderId="21" xfId="0" applyFont="1" applyFill="1" applyBorder="1" applyAlignment="1">
      <alignment horizontal="center"/>
    </xf>
    <xf numFmtId="0" fontId="1" fillId="26" borderId="22" xfId="0" applyFont="1" applyFill="1" applyBorder="1" applyAlignment="1">
      <alignment horizontal="center"/>
    </xf>
    <xf numFmtId="0" fontId="17" fillId="27" borderId="23" xfId="0" applyFont="1" applyFill="1" applyBorder="1" applyAlignment="1">
      <alignment horizontal="center"/>
    </xf>
    <xf numFmtId="0" fontId="1" fillId="26" borderId="25" xfId="0" applyFont="1" applyFill="1" applyBorder="1" applyAlignment="1">
      <alignment horizontal="center"/>
    </xf>
    <xf numFmtId="0" fontId="1" fillId="22" borderId="0" xfId="0" applyFont="1" applyFill="1" applyBorder="1" applyAlignment="1">
      <alignment horizontal="center"/>
    </xf>
    <xf numFmtId="0" fontId="1" fillId="23" borderId="0" xfId="0" applyFont="1" applyFill="1" applyBorder="1" applyAlignment="1">
      <alignment horizontal="center"/>
    </xf>
    <xf numFmtId="0" fontId="1" fillId="28" borderId="0" xfId="0" applyFont="1" applyFill="1" applyBorder="1" applyAlignment="1">
      <alignment horizontal="center"/>
    </xf>
    <xf numFmtId="0" fontId="1" fillId="24" borderId="0" xfId="0" applyFont="1" applyFill="1" applyBorder="1" applyAlignment="1">
      <alignment horizontal="center"/>
    </xf>
    <xf numFmtId="0" fontId="1" fillId="25" borderId="0" xfId="0" applyFont="1" applyFill="1" applyBorder="1" applyAlignment="1">
      <alignment horizontal="center"/>
    </xf>
    <xf numFmtId="0" fontId="17" fillId="27" borderId="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/>
    </xf>
    <xf numFmtId="0" fontId="1" fillId="13" borderId="0" xfId="0" applyFont="1" applyFill="1" applyAlignment="1"/>
    <xf numFmtId="0" fontId="1" fillId="14" borderId="0" xfId="0" applyFont="1" applyFill="1" applyAlignment="1"/>
    <xf numFmtId="0" fontId="1" fillId="31" borderId="0" xfId="0" applyFont="1" applyFill="1" applyAlignment="1"/>
    <xf numFmtId="0" fontId="1" fillId="15" borderId="0" xfId="0" applyFont="1" applyFill="1" applyAlignment="1"/>
    <xf numFmtId="0" fontId="1" fillId="17" borderId="0" xfId="0" applyFont="1" applyFill="1" applyAlignment="1"/>
    <xf numFmtId="0" fontId="1" fillId="32" borderId="0" xfId="0" applyFont="1" applyFill="1" applyAlignment="1"/>
    <xf numFmtId="14" fontId="13" fillId="0" borderId="17" xfId="1" applyNumberFormat="1" applyFont="1" applyBorder="1" applyAlignment="1">
      <alignment horizontal="center" vertical="center"/>
    </xf>
    <xf numFmtId="0" fontId="12" fillId="20" borderId="18" xfId="1" applyFont="1" applyFill="1" applyBorder="1" applyAlignment="1">
      <alignment horizontal="center"/>
    </xf>
    <xf numFmtId="0" fontId="12" fillId="20" borderId="19" xfId="1" applyFont="1" applyFill="1" applyBorder="1" applyAlignment="1">
      <alignment horizontal="center"/>
    </xf>
    <xf numFmtId="0" fontId="12" fillId="20" borderId="20" xfId="1" applyFont="1" applyFill="1" applyBorder="1" applyAlignment="1">
      <alignment horizontal="left"/>
    </xf>
    <xf numFmtId="0" fontId="13" fillId="0" borderId="21" xfId="1" applyFont="1" applyBorder="1" applyAlignment="1">
      <alignment horizontal="center" vertical="center"/>
    </xf>
    <xf numFmtId="0" fontId="13" fillId="0" borderId="22" xfId="1" applyFont="1" applyBorder="1" applyAlignment="1">
      <alignment horizontal="left" vertical="center"/>
    </xf>
    <xf numFmtId="0" fontId="0" fillId="0" borderId="22" xfId="0" applyFont="1" applyBorder="1" applyAlignment="1"/>
    <xf numFmtId="0" fontId="14" fillId="0" borderId="22" xfId="0" applyFont="1" applyBorder="1" applyAlignment="1"/>
    <xf numFmtId="0" fontId="0" fillId="0" borderId="21" xfId="0" applyFont="1" applyBorder="1" applyAlignment="1">
      <alignment horizontal="center"/>
    </xf>
    <xf numFmtId="0" fontId="0" fillId="0" borderId="25" xfId="0" applyFont="1" applyBorder="1" applyAlignment="1"/>
    <xf numFmtId="0" fontId="1" fillId="0" borderId="27" xfId="0" applyFont="1" applyFill="1" applyBorder="1" applyAlignment="1">
      <alignment horizontal="center" vertical="center"/>
    </xf>
    <xf numFmtId="0" fontId="14" fillId="0" borderId="0" xfId="0" applyFont="1" applyBorder="1" applyAlignment="1"/>
    <xf numFmtId="0" fontId="1" fillId="0" borderId="29" xfId="0" applyFont="1" applyFill="1" applyBorder="1" applyAlignment="1">
      <alignment horizontal="center" vertical="center"/>
    </xf>
    <xf numFmtId="0" fontId="14" fillId="0" borderId="30" xfId="0" applyFont="1" applyBorder="1" applyAlignment="1"/>
    <xf numFmtId="0" fontId="0" fillId="0" borderId="31" xfId="0" applyFont="1" applyBorder="1" applyAlignment="1"/>
    <xf numFmtId="0" fontId="3" fillId="18" borderId="17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0" fillId="30" borderId="19" xfId="0" applyFont="1" applyFill="1" applyBorder="1" applyAlignment="1">
      <alignment horizontal="center" vertical="center"/>
    </xf>
    <xf numFmtId="0" fontId="10" fillId="30" borderId="17" xfId="0" applyFont="1" applyFill="1" applyBorder="1" applyAlignment="1">
      <alignment horizontal="center" vertical="center"/>
    </xf>
    <xf numFmtId="0" fontId="1" fillId="18" borderId="23" xfId="0" applyFont="1" applyFill="1" applyBorder="1" applyAlignment="1">
      <alignment horizontal="center" vertical="center"/>
    </xf>
    <xf numFmtId="0" fontId="0" fillId="18" borderId="10" xfId="0" applyFont="1" applyFill="1" applyBorder="1" applyAlignment="1"/>
    <xf numFmtId="0" fontId="0" fillId="18" borderId="9" xfId="0" applyFont="1" applyFill="1" applyBorder="1" applyAlignment="1"/>
    <xf numFmtId="0" fontId="10" fillId="33" borderId="17" xfId="0" applyFont="1" applyFill="1" applyBorder="1" applyAlignment="1">
      <alignment horizontal="center"/>
    </xf>
    <xf numFmtId="0" fontId="10" fillId="33" borderId="19" xfId="0" applyFont="1" applyFill="1" applyBorder="1" applyAlignment="1">
      <alignment horizontal="center"/>
    </xf>
    <xf numFmtId="9" fontId="1" fillId="0" borderId="20" xfId="3" applyFont="1" applyBorder="1" applyAlignment="1">
      <alignment horizontal="center" vertical="center"/>
    </xf>
    <xf numFmtId="9" fontId="1" fillId="0" borderId="22" xfId="3" applyFont="1" applyBorder="1" applyAlignment="1">
      <alignment horizontal="center" vertical="center"/>
    </xf>
    <xf numFmtId="9" fontId="1" fillId="0" borderId="25" xfId="3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9" fontId="0" fillId="0" borderId="22" xfId="3" applyFont="1" applyBorder="1" applyAlignment="1">
      <alignment horizontal="center" vertical="center"/>
    </xf>
    <xf numFmtId="0" fontId="3" fillId="18" borderId="49" xfId="0" applyFont="1" applyFill="1" applyBorder="1" applyAlignment="1">
      <alignment horizontal="center" vertical="center"/>
    </xf>
    <xf numFmtId="0" fontId="0" fillId="30" borderId="17" xfId="0" applyFont="1" applyFill="1" applyBorder="1" applyAlignment="1">
      <alignment horizontal="center" vertical="center"/>
    </xf>
    <xf numFmtId="0" fontId="0" fillId="0" borderId="17" xfId="0" quotePrefix="1" applyFont="1" applyBorder="1" applyAlignment="1"/>
    <xf numFmtId="0" fontId="0" fillId="0" borderId="17" xfId="0" quotePrefix="1" applyFont="1" applyFill="1" applyBorder="1" applyAlignment="1"/>
    <xf numFmtId="0" fontId="0" fillId="0" borderId="39" xfId="0" applyFont="1" applyBorder="1" applyAlignment="1"/>
    <xf numFmtId="0" fontId="1" fillId="0" borderId="39" xfId="0" applyFont="1" applyBorder="1" applyAlignment="1"/>
    <xf numFmtId="0" fontId="0" fillId="0" borderId="24" xfId="0" quotePrefix="1" applyFont="1" applyFill="1" applyBorder="1" applyAlignment="1"/>
    <xf numFmtId="0" fontId="0" fillId="0" borderId="39" xfId="0" quotePrefix="1" applyFont="1" applyBorder="1" applyAlignment="1"/>
    <xf numFmtId="0" fontId="0" fillId="0" borderId="40" xfId="0" applyFont="1" applyBorder="1" applyAlignment="1"/>
    <xf numFmtId="0" fontId="0" fillId="0" borderId="19" xfId="0" quotePrefix="1" applyFont="1" applyBorder="1" applyAlignment="1"/>
    <xf numFmtId="0" fontId="0" fillId="0" borderId="20" xfId="0" applyFont="1" applyBorder="1" applyAlignment="1"/>
    <xf numFmtId="0" fontId="0" fillId="0" borderId="36" xfId="0" quotePrefix="1" applyFont="1" applyFill="1" applyBorder="1" applyAlignment="1"/>
    <xf numFmtId="0" fontId="0" fillId="0" borderId="37" xfId="0" applyFont="1" applyBorder="1" applyAlignment="1"/>
    <xf numFmtId="0" fontId="0" fillId="34" borderId="32" xfId="0" applyFont="1" applyFill="1" applyBorder="1" applyAlignment="1"/>
    <xf numFmtId="0" fontId="0" fillId="0" borderId="33" xfId="0" applyFont="1" applyBorder="1" applyAlignment="1"/>
    <xf numFmtId="0" fontId="0" fillId="0" borderId="34" xfId="0" applyFont="1" applyBorder="1" applyAlignment="1"/>
    <xf numFmtId="0" fontId="0" fillId="0" borderId="36" xfId="0" quotePrefix="1" applyFont="1" applyBorder="1" applyAlignment="1"/>
    <xf numFmtId="0" fontId="7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3" fillId="11" borderId="46" xfId="0" applyFont="1" applyFill="1" applyBorder="1" applyAlignment="1">
      <alignment horizontal="right" vertical="center"/>
    </xf>
    <xf numFmtId="0" fontId="3" fillId="11" borderId="47" xfId="0" applyFont="1" applyFill="1" applyBorder="1" applyAlignment="1">
      <alignment horizontal="right" vertical="center"/>
    </xf>
    <xf numFmtId="0" fontId="3" fillId="11" borderId="53" xfId="0" applyFont="1" applyFill="1" applyBorder="1" applyAlignment="1">
      <alignment horizontal="left" vertical="center"/>
    </xf>
    <xf numFmtId="0" fontId="5" fillId="11" borderId="54" xfId="0" applyFont="1" applyFill="1" applyBorder="1" applyAlignment="1">
      <alignment horizontal="left" vertical="center"/>
    </xf>
    <xf numFmtId="0" fontId="1" fillId="18" borderId="17" xfId="0" applyFont="1" applyFill="1" applyBorder="1" applyAlignment="1">
      <alignment horizontal="center" vertical="center"/>
    </xf>
    <xf numFmtId="0" fontId="14" fillId="18" borderId="17" xfId="0" applyFont="1" applyFill="1" applyBorder="1" applyAlignment="1">
      <alignment horizontal="center" vertical="center"/>
    </xf>
    <xf numFmtId="3" fontId="0" fillId="0" borderId="17" xfId="0" applyNumberFormat="1" applyFont="1" applyBorder="1" applyAlignment="1"/>
    <xf numFmtId="3" fontId="0" fillId="0" borderId="24" xfId="0" applyNumberFormat="1" applyFont="1" applyBorder="1" applyAlignment="1"/>
    <xf numFmtId="0" fontId="17" fillId="7" borderId="24" xfId="0" applyFont="1" applyFill="1" applyBorder="1" applyAlignment="1">
      <alignment horizontal="center"/>
    </xf>
    <xf numFmtId="0" fontId="3" fillId="18" borderId="27" xfId="0" applyFont="1" applyFill="1" applyBorder="1" applyAlignment="1">
      <alignment horizontal="center" vertical="center"/>
    </xf>
    <xf numFmtId="0" fontId="5" fillId="18" borderId="32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9" fontId="0" fillId="0" borderId="40" xfId="3" applyFont="1" applyBorder="1" applyAlignment="1">
      <alignment horizontal="center" vertical="center"/>
    </xf>
    <xf numFmtId="0" fontId="5" fillId="18" borderId="23" xfId="0" applyFont="1" applyFill="1" applyBorder="1" applyAlignment="1">
      <alignment horizontal="center" vertical="center"/>
    </xf>
    <xf numFmtId="3" fontId="23" fillId="0" borderId="22" xfId="0" applyNumberFormat="1" applyFont="1" applyBorder="1" applyAlignment="1">
      <alignment horizontal="center" vertical="center"/>
    </xf>
    <xf numFmtId="3" fontId="23" fillId="0" borderId="25" xfId="0" applyNumberFormat="1" applyFont="1" applyBorder="1" applyAlignment="1">
      <alignment horizontal="center" vertical="center"/>
    </xf>
    <xf numFmtId="0" fontId="6" fillId="30" borderId="24" xfId="0" applyFont="1" applyFill="1" applyBorder="1" applyAlignment="1">
      <alignment horizontal="center" vertical="center"/>
    </xf>
    <xf numFmtId="0" fontId="1" fillId="18" borderId="22" xfId="0" applyFont="1" applyFill="1" applyBorder="1" applyAlignment="1">
      <alignment horizontal="center" vertical="center"/>
    </xf>
    <xf numFmtId="0" fontId="3" fillId="18" borderId="57" xfId="0" applyFont="1" applyFill="1" applyBorder="1" applyAlignment="1">
      <alignment horizontal="center" vertical="center"/>
    </xf>
    <xf numFmtId="0" fontId="3" fillId="30" borderId="31" xfId="0" applyFont="1" applyFill="1" applyBorder="1" applyAlignment="1">
      <alignment horizontal="center"/>
    </xf>
    <xf numFmtId="0" fontId="1" fillId="30" borderId="58" xfId="0" applyFont="1" applyFill="1" applyBorder="1" applyAlignment="1">
      <alignment horizontal="right"/>
    </xf>
    <xf numFmtId="9" fontId="1" fillId="18" borderId="2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22" borderId="8" xfId="0" applyFont="1" applyFill="1" applyBorder="1" applyAlignment="1">
      <alignment horizontal="center"/>
    </xf>
    <xf numFmtId="0" fontId="1" fillId="22" borderId="10" xfId="0" applyFont="1" applyFill="1" applyBorder="1" applyAlignment="1">
      <alignment horizontal="center"/>
    </xf>
    <xf numFmtId="0" fontId="1" fillId="22" borderId="27" xfId="0" applyFont="1" applyFill="1" applyBorder="1" applyAlignment="1">
      <alignment horizontal="center"/>
    </xf>
    <xf numFmtId="0" fontId="1" fillId="23" borderId="29" xfId="0" applyFont="1" applyFill="1" applyBorder="1" applyAlignment="1">
      <alignment horizontal="center"/>
    </xf>
    <xf numFmtId="0" fontId="1" fillId="23" borderId="30" xfId="0" applyFont="1" applyFill="1" applyBorder="1" applyAlignment="1">
      <alignment horizontal="center"/>
    </xf>
    <xf numFmtId="0" fontId="1" fillId="22" borderId="29" xfId="0" applyFont="1" applyFill="1" applyBorder="1" applyAlignment="1">
      <alignment horizontal="center"/>
    </xf>
    <xf numFmtId="0" fontId="1" fillId="22" borderId="30" xfId="0" applyFont="1" applyFill="1" applyBorder="1" applyAlignment="1">
      <alignment horizontal="center"/>
    </xf>
    <xf numFmtId="0" fontId="1" fillId="23" borderId="8" xfId="0" applyFont="1" applyFill="1" applyBorder="1" applyAlignment="1">
      <alignment horizontal="center"/>
    </xf>
    <xf numFmtId="0" fontId="1" fillId="23" borderId="10" xfId="0" applyFont="1" applyFill="1" applyBorder="1" applyAlignment="1">
      <alignment horizontal="center"/>
    </xf>
    <xf numFmtId="0" fontId="1" fillId="23" borderId="27" xfId="0" applyFont="1" applyFill="1" applyBorder="1" applyAlignment="1">
      <alignment horizontal="center"/>
    </xf>
    <xf numFmtId="0" fontId="1" fillId="28" borderId="8" xfId="0" applyFont="1" applyFill="1" applyBorder="1" applyAlignment="1">
      <alignment horizontal="center"/>
    </xf>
    <xf numFmtId="0" fontId="1" fillId="28" borderId="10" xfId="0" applyFont="1" applyFill="1" applyBorder="1" applyAlignment="1">
      <alignment horizontal="center"/>
    </xf>
    <xf numFmtId="0" fontId="1" fillId="28" borderId="27" xfId="0" applyFont="1" applyFill="1" applyBorder="1" applyAlignment="1">
      <alignment horizontal="center"/>
    </xf>
    <xf numFmtId="0" fontId="1" fillId="28" borderId="29" xfId="0" applyFont="1" applyFill="1" applyBorder="1" applyAlignment="1">
      <alignment horizontal="center"/>
    </xf>
    <xf numFmtId="0" fontId="1" fillId="28" borderId="30" xfId="0" applyFont="1" applyFill="1" applyBorder="1" applyAlignment="1">
      <alignment horizontal="center"/>
    </xf>
    <xf numFmtId="0" fontId="1" fillId="24" borderId="8" xfId="0" applyFont="1" applyFill="1" applyBorder="1" applyAlignment="1">
      <alignment horizontal="center"/>
    </xf>
    <xf numFmtId="0" fontId="1" fillId="24" borderId="10" xfId="0" applyFont="1" applyFill="1" applyBorder="1" applyAlignment="1">
      <alignment horizontal="center"/>
    </xf>
    <xf numFmtId="0" fontId="1" fillId="24" borderId="27" xfId="0" applyFont="1" applyFill="1" applyBorder="1" applyAlignment="1">
      <alignment horizontal="center"/>
    </xf>
    <xf numFmtId="0" fontId="1" fillId="24" borderId="29" xfId="0" applyFont="1" applyFill="1" applyBorder="1" applyAlignment="1">
      <alignment horizontal="center"/>
    </xf>
    <xf numFmtId="0" fontId="1" fillId="24" borderId="30" xfId="0" applyFont="1" applyFill="1" applyBorder="1" applyAlignment="1">
      <alignment horizontal="center"/>
    </xf>
    <xf numFmtId="0" fontId="1" fillId="25" borderId="8" xfId="0" applyFont="1" applyFill="1" applyBorder="1" applyAlignment="1">
      <alignment horizontal="center"/>
    </xf>
    <xf numFmtId="0" fontId="1" fillId="25" borderId="10" xfId="0" applyFont="1" applyFill="1" applyBorder="1" applyAlignment="1">
      <alignment horizontal="center"/>
    </xf>
    <xf numFmtId="0" fontId="1" fillId="25" borderId="27" xfId="0" applyFont="1" applyFill="1" applyBorder="1" applyAlignment="1">
      <alignment horizontal="center"/>
    </xf>
    <xf numFmtId="0" fontId="1" fillId="25" borderId="29" xfId="0" applyFont="1" applyFill="1" applyBorder="1" applyAlignment="1">
      <alignment horizontal="center"/>
    </xf>
    <xf numFmtId="0" fontId="1" fillId="25" borderId="30" xfId="0" applyFont="1" applyFill="1" applyBorder="1" applyAlignment="1">
      <alignment horizontal="center"/>
    </xf>
    <xf numFmtId="0" fontId="17" fillId="27" borderId="8" xfId="0" applyFont="1" applyFill="1" applyBorder="1" applyAlignment="1">
      <alignment horizontal="center"/>
    </xf>
    <xf numFmtId="0" fontId="17" fillId="27" borderId="10" xfId="0" applyFont="1" applyFill="1" applyBorder="1" applyAlignment="1">
      <alignment horizontal="center"/>
    </xf>
    <xf numFmtId="0" fontId="17" fillId="27" borderId="27" xfId="0" applyFont="1" applyFill="1" applyBorder="1" applyAlignment="1">
      <alignment horizontal="center"/>
    </xf>
    <xf numFmtId="0" fontId="17" fillId="27" borderId="29" xfId="0" applyFont="1" applyFill="1" applyBorder="1" applyAlignment="1">
      <alignment horizontal="center"/>
    </xf>
    <xf numFmtId="0" fontId="17" fillId="27" borderId="30" xfId="0" applyFont="1" applyFill="1" applyBorder="1" applyAlignment="1">
      <alignment horizontal="center"/>
    </xf>
    <xf numFmtId="0" fontId="1" fillId="18" borderId="57" xfId="0" applyFont="1" applyFill="1" applyBorder="1" applyAlignment="1">
      <alignment horizontal="center" vertical="center"/>
    </xf>
    <xf numFmtId="9" fontId="1" fillId="18" borderId="57" xfId="0" applyNumberFormat="1" applyFont="1" applyFill="1" applyBorder="1" applyAlignment="1">
      <alignment horizontal="center" vertical="center"/>
    </xf>
    <xf numFmtId="0" fontId="14" fillId="18" borderId="5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18" borderId="45" xfId="0" applyFont="1" applyFill="1" applyBorder="1" applyAlignment="1">
      <alignment horizontal="center"/>
    </xf>
    <xf numFmtId="0" fontId="1" fillId="18" borderId="46" xfId="0" applyFont="1" applyFill="1" applyBorder="1" applyAlignment="1">
      <alignment horizontal="center" vertical="center"/>
    </xf>
    <xf numFmtId="0" fontId="1" fillId="18" borderId="46" xfId="0" applyFont="1" applyFill="1" applyBorder="1" applyAlignment="1">
      <alignment horizontal="center"/>
    </xf>
    <xf numFmtId="9" fontId="1" fillId="18" borderId="17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1" fillId="18" borderId="19" xfId="0" applyFont="1" applyFill="1" applyBorder="1" applyAlignment="1">
      <alignment horizontal="center"/>
    </xf>
    <xf numFmtId="0" fontId="14" fillId="18" borderId="19" xfId="0" applyFont="1" applyFill="1" applyBorder="1" applyAlignment="1">
      <alignment horizontal="center"/>
    </xf>
    <xf numFmtId="3" fontId="0" fillId="0" borderId="19" xfId="0" applyNumberFormat="1" applyFont="1" applyBorder="1" applyAlignment="1"/>
    <xf numFmtId="3" fontId="23" fillId="0" borderId="20" xfId="0" applyNumberFormat="1" applyFont="1" applyBorder="1" applyAlignment="1">
      <alignment horizontal="center" vertical="center"/>
    </xf>
    <xf numFmtId="0" fontId="1" fillId="0" borderId="27" xfId="0" applyFont="1" applyFill="1" applyBorder="1" applyAlignment="1">
      <alignment horizontal="center"/>
    </xf>
    <xf numFmtId="0" fontId="19" fillId="0" borderId="60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right" vertical="center"/>
    </xf>
    <xf numFmtId="3" fontId="0" fillId="0" borderId="60" xfId="0" applyNumberFormat="1" applyFont="1" applyBorder="1" applyAlignment="1"/>
    <xf numFmtId="3" fontId="0" fillId="0" borderId="0" xfId="0" applyNumberFormat="1" applyFont="1" applyBorder="1" applyAlignment="1"/>
    <xf numFmtId="0" fontId="1" fillId="18" borderId="47" xfId="0" applyFont="1" applyFill="1" applyBorder="1" applyAlignment="1">
      <alignment horizontal="center"/>
    </xf>
    <xf numFmtId="0" fontId="3" fillId="18" borderId="29" xfId="0" applyFont="1" applyFill="1" applyBorder="1" applyAlignment="1">
      <alignment horizontal="center" vertical="center"/>
    </xf>
    <xf numFmtId="0" fontId="17" fillId="7" borderId="17" xfId="0" applyFont="1" applyFill="1" applyBorder="1" applyAlignment="1">
      <alignment horizontal="center"/>
    </xf>
    <xf numFmtId="0" fontId="10" fillId="18" borderId="18" xfId="0" applyFont="1" applyFill="1" applyBorder="1" applyAlignment="1">
      <alignment horizontal="center" vertical="center"/>
    </xf>
    <xf numFmtId="0" fontId="10" fillId="18" borderId="21" xfId="0" applyFont="1" applyFill="1" applyBorder="1" applyAlignment="1">
      <alignment horizontal="center" vertical="center"/>
    </xf>
    <xf numFmtId="0" fontId="10" fillId="18" borderId="23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5" fillId="18" borderId="3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15" fillId="7" borderId="33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3" fontId="0" fillId="18" borderId="17" xfId="0" applyNumberFormat="1" applyFont="1" applyFill="1" applyBorder="1" applyAlignment="1">
      <alignment horizontal="center"/>
    </xf>
    <xf numFmtId="0" fontId="1" fillId="18" borderId="21" xfId="0" applyFont="1" applyFill="1" applyBorder="1" applyAlignment="1">
      <alignment horizontal="center"/>
    </xf>
    <xf numFmtId="3" fontId="0" fillId="18" borderId="22" xfId="0" applyNumberFormat="1" applyFont="1" applyFill="1" applyBorder="1" applyAlignment="1">
      <alignment horizontal="center"/>
    </xf>
    <xf numFmtId="3" fontId="0" fillId="18" borderId="24" xfId="0" applyNumberFormat="1" applyFont="1" applyFill="1" applyBorder="1" applyAlignment="1">
      <alignment horizontal="center"/>
    </xf>
    <xf numFmtId="3" fontId="0" fillId="18" borderId="25" xfId="0" applyNumberFormat="1" applyFont="1" applyFill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3" fontId="1" fillId="0" borderId="22" xfId="0" applyNumberFormat="1" applyFont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3" fontId="1" fillId="0" borderId="25" xfId="0" applyNumberFormat="1" applyFont="1" applyBorder="1" applyAlignment="1">
      <alignment horizontal="center"/>
    </xf>
    <xf numFmtId="3" fontId="0" fillId="0" borderId="22" xfId="0" applyNumberFormat="1" applyFont="1" applyBorder="1" applyAlignment="1"/>
    <xf numFmtId="3" fontId="0" fillId="0" borderId="25" xfId="0" applyNumberFormat="1" applyFont="1" applyBorder="1" applyAlignment="1"/>
    <xf numFmtId="0" fontId="0" fillId="0" borderId="17" xfId="0" applyFont="1" applyBorder="1" applyAlignment="1"/>
    <xf numFmtId="0" fontId="0" fillId="0" borderId="17" xfId="0" applyFont="1" applyBorder="1" applyAlignment="1">
      <alignment horizontal="center"/>
    </xf>
    <xf numFmtId="9" fontId="1" fillId="18" borderId="18" xfId="0" applyNumberFormat="1" applyFont="1" applyFill="1" applyBorder="1" applyAlignment="1">
      <alignment horizontal="center" vertical="center"/>
    </xf>
    <xf numFmtId="9" fontId="1" fillId="18" borderId="20" xfId="0" applyNumberFormat="1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14" fillId="0" borderId="30" xfId="0" applyFont="1" applyFill="1" applyBorder="1" applyAlignment="1"/>
    <xf numFmtId="0" fontId="1" fillId="0" borderId="61" xfId="0" applyFont="1" applyBorder="1" applyAlignment="1">
      <alignment horizontal="center"/>
    </xf>
    <xf numFmtId="0" fontId="0" fillId="30" borderId="62" xfId="0" applyFont="1" applyFill="1" applyBorder="1" applyAlignment="1">
      <alignment horizontal="center" vertical="center"/>
    </xf>
    <xf numFmtId="0" fontId="6" fillId="30" borderId="14" xfId="0" applyFont="1" applyFill="1" applyBorder="1" applyAlignment="1">
      <alignment horizontal="center" vertical="center"/>
    </xf>
    <xf numFmtId="0" fontId="3" fillId="18" borderId="64" xfId="0" applyFont="1" applyFill="1" applyBorder="1" applyAlignment="1">
      <alignment horizontal="center" vertical="center"/>
    </xf>
    <xf numFmtId="3" fontId="0" fillId="0" borderId="20" xfId="0" applyNumberFormat="1" applyFont="1" applyBorder="1" applyAlignment="1"/>
    <xf numFmtId="0" fontId="1" fillId="22" borderId="20" xfId="0" applyFont="1" applyFill="1" applyBorder="1" applyAlignment="1">
      <alignment horizontal="left"/>
    </xf>
    <xf numFmtId="0" fontId="1" fillId="23" borderId="20" xfId="0" applyFont="1" applyFill="1" applyBorder="1" applyAlignment="1">
      <alignment horizontal="left"/>
    </xf>
    <xf numFmtId="0" fontId="1" fillId="23" borderId="22" xfId="0" applyFont="1" applyFill="1" applyBorder="1" applyAlignment="1">
      <alignment horizontal="left"/>
    </xf>
    <xf numFmtId="0" fontId="1" fillId="28" borderId="20" xfId="0" applyFont="1" applyFill="1" applyBorder="1" applyAlignment="1">
      <alignment horizontal="left"/>
    </xf>
    <xf numFmtId="0" fontId="1" fillId="28" borderId="22" xfId="0" applyFont="1" applyFill="1" applyBorder="1" applyAlignment="1">
      <alignment horizontal="left"/>
    </xf>
    <xf numFmtId="0" fontId="1" fillId="24" borderId="20" xfId="0" applyFont="1" applyFill="1" applyBorder="1" applyAlignment="1">
      <alignment horizontal="left"/>
    </xf>
    <xf numFmtId="0" fontId="1" fillId="24" borderId="22" xfId="0" applyFont="1" applyFill="1" applyBorder="1" applyAlignment="1">
      <alignment horizontal="left"/>
    </xf>
    <xf numFmtId="0" fontId="1" fillId="25" borderId="20" xfId="0" applyFont="1" applyFill="1" applyBorder="1" applyAlignment="1">
      <alignment horizontal="left"/>
    </xf>
    <xf numFmtId="0" fontId="1" fillId="25" borderId="22" xfId="0" applyFont="1" applyFill="1" applyBorder="1" applyAlignment="1">
      <alignment horizontal="left"/>
    </xf>
    <xf numFmtId="0" fontId="17" fillId="27" borderId="20" xfId="0" applyFont="1" applyFill="1" applyBorder="1" applyAlignment="1">
      <alignment horizontal="left"/>
    </xf>
    <xf numFmtId="0" fontId="17" fillId="27" borderId="22" xfId="0" applyFont="1" applyFill="1" applyBorder="1" applyAlignment="1">
      <alignment horizontal="left"/>
    </xf>
    <xf numFmtId="0" fontId="1" fillId="22" borderId="19" xfId="0" applyFont="1" applyFill="1" applyBorder="1" applyAlignment="1">
      <alignment horizontal="center"/>
    </xf>
    <xf numFmtId="0" fontId="1" fillId="22" borderId="22" xfId="0" applyFont="1" applyFill="1" applyBorder="1" applyAlignment="1">
      <alignment horizontal="left"/>
    </xf>
    <xf numFmtId="0" fontId="1" fillId="23" borderId="17" xfId="0" applyFont="1" applyFill="1" applyBorder="1" applyAlignment="1">
      <alignment horizontal="center"/>
    </xf>
    <xf numFmtId="0" fontId="1" fillId="23" borderId="19" xfId="0" applyFont="1" applyFill="1" applyBorder="1" applyAlignment="1">
      <alignment horizontal="center"/>
    </xf>
    <xf numFmtId="0" fontId="1" fillId="28" borderId="17" xfId="0" applyFont="1" applyFill="1" applyBorder="1" applyAlignment="1">
      <alignment horizontal="center"/>
    </xf>
    <xf numFmtId="0" fontId="1" fillId="28" borderId="19" xfId="0" applyFont="1" applyFill="1" applyBorder="1" applyAlignment="1">
      <alignment horizontal="center"/>
    </xf>
    <xf numFmtId="0" fontId="1" fillId="24" borderId="17" xfId="0" applyFont="1" applyFill="1" applyBorder="1" applyAlignment="1">
      <alignment horizontal="center"/>
    </xf>
    <xf numFmtId="0" fontId="1" fillId="24" borderId="19" xfId="0" applyFont="1" applyFill="1" applyBorder="1" applyAlignment="1">
      <alignment horizontal="center"/>
    </xf>
    <xf numFmtId="0" fontId="1" fillId="25" borderId="17" xfId="0" applyFont="1" applyFill="1" applyBorder="1" applyAlignment="1">
      <alignment horizontal="center"/>
    </xf>
    <xf numFmtId="0" fontId="1" fillId="25" borderId="19" xfId="0" applyFont="1" applyFill="1" applyBorder="1" applyAlignment="1">
      <alignment horizontal="center"/>
    </xf>
    <xf numFmtId="0" fontId="17" fillId="27" borderId="17" xfId="0" applyFont="1" applyFill="1" applyBorder="1" applyAlignment="1">
      <alignment horizontal="center"/>
    </xf>
    <xf numFmtId="0" fontId="17" fillId="27" borderId="19" xfId="0" applyFont="1" applyFill="1" applyBorder="1" applyAlignment="1">
      <alignment horizontal="center"/>
    </xf>
    <xf numFmtId="0" fontId="1" fillId="18" borderId="25" xfId="0" applyFont="1" applyFill="1" applyBorder="1" applyAlignment="1"/>
    <xf numFmtId="0" fontId="1" fillId="18" borderId="18" xfId="0" applyFont="1" applyFill="1" applyBorder="1" applyAlignment="1">
      <alignment horizontal="center"/>
    </xf>
    <xf numFmtId="0" fontId="3" fillId="18" borderId="10" xfId="0" applyFont="1" applyFill="1" applyBorder="1" applyAlignment="1">
      <alignment horizontal="center" vertical="center"/>
    </xf>
    <xf numFmtId="3" fontId="0" fillId="18" borderId="17" xfId="0" applyNumberFormat="1" applyFont="1" applyFill="1" applyBorder="1" applyAlignment="1"/>
    <xf numFmtId="3" fontId="0" fillId="0" borderId="17" xfId="0" applyNumberFormat="1" applyFont="1" applyFill="1" applyBorder="1" applyAlignment="1"/>
    <xf numFmtId="3" fontId="0" fillId="18" borderId="19" xfId="0" applyNumberFormat="1" applyFont="1" applyFill="1" applyBorder="1" applyAlignment="1"/>
    <xf numFmtId="3" fontId="0" fillId="0" borderId="19" xfId="0" applyNumberFormat="1" applyFont="1" applyFill="1" applyBorder="1" applyAlignment="1"/>
    <xf numFmtId="3" fontId="0" fillId="18" borderId="24" xfId="0" applyNumberFormat="1" applyFont="1" applyFill="1" applyBorder="1" applyAlignment="1"/>
    <xf numFmtId="3" fontId="0" fillId="0" borderId="24" xfId="0" applyNumberFormat="1" applyFont="1" applyFill="1" applyBorder="1" applyAlignment="1"/>
    <xf numFmtId="0" fontId="1" fillId="0" borderId="60" xfId="0" applyFont="1" applyFill="1" applyBorder="1" applyAlignment="1">
      <alignment horizontal="right" vertical="center"/>
    </xf>
    <xf numFmtId="0" fontId="5" fillId="18" borderId="59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18" borderId="59" xfId="0" applyFont="1" applyFill="1" applyBorder="1" applyAlignment="1">
      <alignment horizontal="center" vertical="center"/>
    </xf>
    <xf numFmtId="0" fontId="5" fillId="18" borderId="66" xfId="0" applyFont="1" applyFill="1" applyBorder="1" applyAlignment="1">
      <alignment horizontal="center" vertical="center"/>
    </xf>
    <xf numFmtId="0" fontId="1" fillId="18" borderId="57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3" borderId="57" xfId="0" applyFont="1" applyFill="1" applyBorder="1" applyAlignment="1">
      <alignment horizontal="center"/>
    </xf>
    <xf numFmtId="0" fontId="1" fillId="4" borderId="57" xfId="0" applyFont="1" applyFill="1" applyBorder="1" applyAlignment="1">
      <alignment horizontal="center"/>
    </xf>
    <xf numFmtId="0" fontId="1" fillId="5" borderId="57" xfId="0" applyFont="1" applyFill="1" applyBorder="1" applyAlignment="1">
      <alignment horizontal="center"/>
    </xf>
    <xf numFmtId="0" fontId="1" fillId="6" borderId="57" xfId="0" applyFont="1" applyFill="1" applyBorder="1" applyAlignment="1">
      <alignment horizontal="center"/>
    </xf>
    <xf numFmtId="0" fontId="17" fillId="7" borderId="59" xfId="0" applyFont="1" applyFill="1" applyBorder="1" applyAlignment="1">
      <alignment horizontal="center"/>
    </xf>
    <xf numFmtId="0" fontId="1" fillId="18" borderId="23" xfId="0" applyFont="1" applyFill="1" applyBorder="1" applyAlignment="1">
      <alignment horizontal="center"/>
    </xf>
    <xf numFmtId="0" fontId="1" fillId="18" borderId="24" xfId="0" applyFont="1" applyFill="1" applyBorder="1" applyAlignment="1">
      <alignment horizontal="center"/>
    </xf>
    <xf numFmtId="0" fontId="1" fillId="18" borderId="25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 vertical="center"/>
    </xf>
    <xf numFmtId="0" fontId="17" fillId="7" borderId="17" xfId="0" applyFont="1" applyFill="1" applyBorder="1" applyAlignment="1">
      <alignment horizontal="center" vertical="center"/>
    </xf>
    <xf numFmtId="0" fontId="6" fillId="18" borderId="18" xfId="0" applyFont="1" applyFill="1" applyBorder="1" applyAlignment="1"/>
    <xf numFmtId="0" fontId="1" fillId="4" borderId="3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23" fillId="18" borderId="55" xfId="0" applyFont="1" applyFill="1" applyBorder="1" applyAlignment="1">
      <alignment horizontal="center"/>
    </xf>
    <xf numFmtId="0" fontId="1" fillId="0" borderId="63" xfId="0" applyFont="1" applyFill="1" applyBorder="1" applyAlignment="1">
      <alignment horizontal="center" vertical="center"/>
    </xf>
    <xf numFmtId="0" fontId="1" fillId="18" borderId="64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7" fillId="7" borderId="39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1" fillId="4" borderId="64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1" fillId="4" borderId="67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3" fillId="6" borderId="55" xfId="0" applyFont="1" applyFill="1" applyBorder="1" applyAlignment="1">
      <alignment horizontal="center" vertical="center"/>
    </xf>
    <xf numFmtId="0" fontId="1" fillId="6" borderId="64" xfId="0" applyFont="1" applyFill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0" fontId="1" fillId="6" borderId="43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1" fillId="6" borderId="67" xfId="0" applyFont="1" applyFill="1" applyBorder="1" applyAlignment="1">
      <alignment horizontal="center" vertical="center"/>
    </xf>
    <xf numFmtId="0" fontId="14" fillId="0" borderId="21" xfId="0" applyFont="1" applyBorder="1" applyAlignment="1"/>
    <xf numFmtId="0" fontId="14" fillId="0" borderId="23" xfId="0" applyFont="1" applyFill="1" applyBorder="1" applyAlignment="1"/>
    <xf numFmtId="14" fontId="0" fillId="0" borderId="17" xfId="0" applyNumberFormat="1" applyFont="1" applyBorder="1" applyAlignment="1">
      <alignment horizontal="center"/>
    </xf>
    <xf numFmtId="14" fontId="0" fillId="0" borderId="24" xfId="0" applyNumberFormat="1" applyFont="1" applyBorder="1" applyAlignment="1">
      <alignment horizontal="center"/>
    </xf>
    <xf numFmtId="0" fontId="6" fillId="18" borderId="19" xfId="0" applyFont="1" applyFill="1" applyBorder="1" applyAlignment="1">
      <alignment horizontal="center"/>
    </xf>
    <xf numFmtId="0" fontId="6" fillId="18" borderId="20" xfId="0" applyFont="1" applyFill="1" applyBorder="1" applyAlignment="1">
      <alignment horizontal="center"/>
    </xf>
    <xf numFmtId="0" fontId="28" fillId="0" borderId="0" xfId="0" applyFont="1" applyAlignment="1"/>
    <xf numFmtId="0" fontId="22" fillId="0" borderId="27" xfId="0" applyFont="1" applyBorder="1" applyAlignment="1"/>
    <xf numFmtId="0" fontId="22" fillId="0" borderId="29" xfId="0" applyFont="1" applyBorder="1" applyAlignment="1"/>
    <xf numFmtId="0" fontId="14" fillId="18" borderId="27" xfId="0" applyFont="1" applyFill="1" applyBorder="1" applyAlignment="1">
      <alignment horizontal="right"/>
    </xf>
    <xf numFmtId="0" fontId="14" fillId="18" borderId="29" xfId="0" applyFont="1" applyFill="1" applyBorder="1" applyAlignment="1">
      <alignment horizontal="right"/>
    </xf>
    <xf numFmtId="0" fontId="27" fillId="30" borderId="8" xfId="0" applyFont="1" applyFill="1" applyBorder="1" applyAlignment="1">
      <alignment horizontal="center" vertical="center"/>
    </xf>
    <xf numFmtId="0" fontId="1" fillId="30" borderId="0" xfId="0" applyFont="1" applyFill="1" applyAlignment="1"/>
    <xf numFmtId="0" fontId="22" fillId="0" borderId="27" xfId="0" applyFont="1" applyFill="1" applyBorder="1" applyAlignment="1"/>
    <xf numFmtId="0" fontId="0" fillId="0" borderId="29" xfId="0" applyFont="1" applyBorder="1" applyAlignment="1"/>
    <xf numFmtId="0" fontId="29" fillId="0" borderId="8" xfId="0" applyFont="1" applyBorder="1" applyAlignment="1"/>
    <xf numFmtId="0" fontId="30" fillId="0" borderId="8" xfId="0" applyFont="1" applyFill="1" applyBorder="1" applyAlignment="1"/>
    <xf numFmtId="0" fontId="3" fillId="11" borderId="54" xfId="0" applyFont="1" applyFill="1" applyBorder="1" applyAlignment="1">
      <alignment horizontal="left" vertical="center"/>
    </xf>
    <xf numFmtId="0" fontId="17" fillId="0" borderId="0" xfId="0" applyFont="1" applyAlignment="1"/>
    <xf numFmtId="0" fontId="31" fillId="0" borderId="0" xfId="0" applyFont="1"/>
    <xf numFmtId="0" fontId="3" fillId="2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15" fillId="7" borderId="17" xfId="0" applyFont="1" applyFill="1" applyBorder="1" applyAlignment="1">
      <alignment horizontal="center"/>
    </xf>
    <xf numFmtId="0" fontId="14" fillId="0" borderId="17" xfId="0" applyFont="1" applyBorder="1" applyAlignment="1"/>
    <xf numFmtId="0" fontId="16" fillId="0" borderId="17" xfId="2" applyBorder="1" applyAlignment="1"/>
    <xf numFmtId="0" fontId="6" fillId="18" borderId="17" xfId="0" applyFont="1" applyFill="1" applyBorder="1" applyAlignment="1"/>
    <xf numFmtId="0" fontId="0" fillId="18" borderId="17" xfId="0" applyFont="1" applyFill="1" applyBorder="1" applyAlignment="1"/>
    <xf numFmtId="0" fontId="6" fillId="30" borderId="17" xfId="0" applyFont="1" applyFill="1" applyBorder="1" applyAlignment="1">
      <alignment horizontal="center"/>
    </xf>
    <xf numFmtId="3" fontId="1" fillId="35" borderId="22" xfId="0" applyNumberFormat="1" applyFont="1" applyFill="1" applyBorder="1" applyAlignment="1">
      <alignment horizontal="center"/>
    </xf>
    <xf numFmtId="3" fontId="1" fillId="35" borderId="17" xfId="0" applyNumberFormat="1" applyFont="1" applyFill="1" applyBorder="1" applyAlignment="1">
      <alignment horizontal="center"/>
    </xf>
    <xf numFmtId="0" fontId="6" fillId="18" borderId="36" xfId="0" applyFont="1" applyFill="1" applyBorder="1" applyAlignment="1"/>
    <xf numFmtId="0" fontId="14" fillId="36" borderId="42" xfId="0" applyFont="1" applyFill="1" applyBorder="1" applyAlignment="1">
      <alignment horizontal="center"/>
    </xf>
    <xf numFmtId="0" fontId="14" fillId="37" borderId="39" xfId="0" applyFont="1" applyFill="1" applyBorder="1" applyAlignment="1">
      <alignment horizontal="center"/>
    </xf>
    <xf numFmtId="0" fontId="3" fillId="18" borderId="8" xfId="0" applyFont="1" applyFill="1" applyBorder="1" applyAlignment="1">
      <alignment horizontal="center" vertical="center"/>
    </xf>
    <xf numFmtId="0" fontId="14" fillId="37" borderId="42" xfId="0" applyFont="1" applyFill="1" applyBorder="1" applyAlignment="1">
      <alignment horizontal="center"/>
    </xf>
    <xf numFmtId="3" fontId="32" fillId="35" borderId="39" xfId="0" applyNumberFormat="1" applyFont="1" applyFill="1" applyBorder="1" applyAlignment="1">
      <alignment horizontal="center"/>
    </xf>
    <xf numFmtId="0" fontId="14" fillId="18" borderId="11" xfId="0" applyFont="1" applyFill="1" applyBorder="1" applyAlignment="1">
      <alignment horizontal="center" vertical="center"/>
    </xf>
    <xf numFmtId="0" fontId="33" fillId="18" borderId="7" xfId="0" applyFont="1" applyFill="1" applyBorder="1" applyAlignment="1">
      <alignment horizontal="right" vertical="center"/>
    </xf>
    <xf numFmtId="0" fontId="32" fillId="0" borderId="0" xfId="0" applyFont="1"/>
    <xf numFmtId="0" fontId="32" fillId="0" borderId="2" xfId="0" applyFont="1" applyBorder="1" applyAlignment="1">
      <alignment horizontal="center" vertical="center"/>
    </xf>
    <xf numFmtId="0" fontId="0" fillId="0" borderId="68" xfId="0" applyFont="1" applyBorder="1" applyAlignment="1"/>
    <xf numFmtId="0" fontId="1" fillId="18" borderId="69" xfId="0" applyFont="1" applyFill="1" applyBorder="1" applyAlignment="1">
      <alignment horizontal="center"/>
    </xf>
    <xf numFmtId="0" fontId="1" fillId="18" borderId="35" xfId="0" applyFont="1" applyFill="1" applyBorder="1" applyAlignment="1">
      <alignment horizontal="center" vertical="center"/>
    </xf>
    <xf numFmtId="0" fontId="14" fillId="18" borderId="36" xfId="0" applyFont="1" applyFill="1" applyBorder="1" applyAlignment="1">
      <alignment horizontal="center" vertical="center"/>
    </xf>
    <xf numFmtId="0" fontId="3" fillId="18" borderId="36" xfId="0" applyFont="1" applyFill="1" applyBorder="1" applyAlignment="1">
      <alignment horizontal="center" vertical="center"/>
    </xf>
    <xf numFmtId="0" fontId="1" fillId="18" borderId="70" xfId="0" applyFont="1" applyFill="1" applyBorder="1" applyAlignment="1">
      <alignment horizontal="center" vertical="center"/>
    </xf>
    <xf numFmtId="0" fontId="14" fillId="18" borderId="70" xfId="0" applyFont="1" applyFill="1" applyBorder="1" applyAlignment="1">
      <alignment horizontal="center" vertical="center"/>
    </xf>
    <xf numFmtId="0" fontId="1" fillId="18" borderId="71" xfId="0" applyFont="1" applyFill="1" applyBorder="1" applyAlignment="1">
      <alignment horizontal="center" vertical="center"/>
    </xf>
    <xf numFmtId="0" fontId="23" fillId="18" borderId="9" xfId="0" applyFont="1" applyFill="1" applyBorder="1" applyAlignment="1">
      <alignment horizontal="left" vertical="center"/>
    </xf>
    <xf numFmtId="0" fontId="23" fillId="18" borderId="10" xfId="0" applyFont="1" applyFill="1" applyBorder="1" applyAlignment="1">
      <alignment horizontal="left" vertical="center"/>
    </xf>
    <xf numFmtId="0" fontId="6" fillId="18" borderId="8" xfId="0" applyFont="1" applyFill="1" applyBorder="1" applyAlignment="1">
      <alignment horizontal="right" vertical="center"/>
    </xf>
    <xf numFmtId="0" fontId="6" fillId="18" borderId="10" xfId="0" applyFont="1" applyFill="1" applyBorder="1" applyAlignment="1">
      <alignment horizontal="right" vertical="center"/>
    </xf>
    <xf numFmtId="0" fontId="1" fillId="18" borderId="29" xfId="0" applyFont="1" applyFill="1" applyBorder="1" applyAlignment="1">
      <alignment horizontal="center"/>
    </xf>
    <xf numFmtId="0" fontId="19" fillId="18" borderId="44" xfId="0" applyFont="1" applyFill="1" applyBorder="1" applyAlignment="1">
      <alignment horizontal="center"/>
    </xf>
    <xf numFmtId="0" fontId="1" fillId="18" borderId="51" xfId="0" applyFont="1" applyFill="1" applyBorder="1" applyAlignment="1">
      <alignment horizontal="right" vertical="center"/>
    </xf>
    <xf numFmtId="0" fontId="19" fillId="18" borderId="72" xfId="0" applyFont="1" applyFill="1" applyBorder="1" applyAlignment="1">
      <alignment horizontal="center"/>
    </xf>
    <xf numFmtId="0" fontId="1" fillId="18" borderId="72" xfId="0" applyFont="1" applyFill="1" applyBorder="1" applyAlignment="1">
      <alignment horizontal="right" vertical="center"/>
    </xf>
    <xf numFmtId="3" fontId="0" fillId="0" borderId="72" xfId="0" applyNumberFormat="1" applyFont="1" applyBorder="1" applyAlignment="1"/>
    <xf numFmtId="3" fontId="0" fillId="0" borderId="31" xfId="0" applyNumberFormat="1" applyFont="1" applyBorder="1" applyAlignment="1"/>
    <xf numFmtId="0" fontId="1" fillId="18" borderId="18" xfId="0" applyFont="1" applyFill="1" applyBorder="1" applyAlignment="1">
      <alignment horizontal="center" vertical="center"/>
    </xf>
    <xf numFmtId="0" fontId="1" fillId="18" borderId="66" xfId="0" applyFont="1" applyFill="1" applyBorder="1" applyAlignment="1">
      <alignment horizontal="center" vertical="center"/>
    </xf>
    <xf numFmtId="0" fontId="14" fillId="18" borderId="24" xfId="0" applyFont="1" applyFill="1" applyBorder="1" applyAlignment="1">
      <alignment horizontal="center" vertical="center"/>
    </xf>
    <xf numFmtId="0" fontId="14" fillId="18" borderId="59" xfId="0" applyFont="1" applyFill="1" applyBorder="1" applyAlignment="1">
      <alignment horizontal="center" vertical="center"/>
    </xf>
    <xf numFmtId="0" fontId="1" fillId="18" borderId="54" xfId="0" applyFont="1" applyFill="1" applyBorder="1" applyAlignment="1">
      <alignment horizontal="center" vertical="center"/>
    </xf>
    <xf numFmtId="0" fontId="25" fillId="11" borderId="45" xfId="0" applyFont="1" applyFill="1" applyBorder="1" applyAlignment="1">
      <alignment horizontal="center" vertical="center"/>
    </xf>
    <xf numFmtId="0" fontId="25" fillId="11" borderId="52" xfId="0" applyFont="1" applyFill="1" applyBorder="1" applyAlignment="1">
      <alignment horizontal="center" vertical="center"/>
    </xf>
    <xf numFmtId="0" fontId="23" fillId="18" borderId="7" xfId="0" applyFont="1" applyFill="1" applyBorder="1" applyAlignment="1">
      <alignment horizontal="center" vertical="center"/>
    </xf>
    <xf numFmtId="0" fontId="23" fillId="18" borderId="26" xfId="0" applyFont="1" applyFill="1" applyBorder="1" applyAlignment="1">
      <alignment horizontal="center" vertical="center"/>
    </xf>
    <xf numFmtId="0" fontId="23" fillId="18" borderId="11" xfId="0" applyFont="1" applyFill="1" applyBorder="1" applyAlignment="1">
      <alignment horizontal="center" vertical="center"/>
    </xf>
    <xf numFmtId="0" fontId="15" fillId="7" borderId="41" xfId="0" applyFont="1" applyFill="1" applyBorder="1" applyAlignment="1">
      <alignment horizontal="center" vertical="center"/>
    </xf>
    <xf numFmtId="0" fontId="15" fillId="7" borderId="38" xfId="0" applyFont="1" applyFill="1" applyBorder="1" applyAlignment="1">
      <alignment horizontal="center" vertical="center"/>
    </xf>
    <xf numFmtId="0" fontId="17" fillId="7" borderId="43" xfId="0" applyFont="1" applyFill="1" applyBorder="1" applyAlignment="1">
      <alignment horizontal="center" vertical="center"/>
    </xf>
    <xf numFmtId="0" fontId="17" fillId="7" borderId="40" xfId="0" applyFont="1" applyFill="1" applyBorder="1" applyAlignment="1">
      <alignment horizontal="center" vertical="center"/>
    </xf>
    <xf numFmtId="0" fontId="11" fillId="20" borderId="7" xfId="1" applyFont="1" applyFill="1" applyBorder="1" applyAlignment="1">
      <alignment horizontal="center" wrapText="1"/>
    </xf>
    <xf numFmtId="0" fontId="11" fillId="20" borderId="26" xfId="1" applyFont="1" applyFill="1" applyBorder="1" applyAlignment="1">
      <alignment horizontal="center" wrapText="1"/>
    </xf>
    <xf numFmtId="0" fontId="11" fillId="20" borderId="11" xfId="1" applyFont="1" applyFill="1" applyBorder="1" applyAlignment="1">
      <alignment horizontal="center" wrapText="1"/>
    </xf>
    <xf numFmtId="0" fontId="25" fillId="11" borderId="18" xfId="0" applyFont="1" applyFill="1" applyBorder="1" applyAlignment="1">
      <alignment horizontal="center" vertical="center"/>
    </xf>
    <xf numFmtId="0" fontId="25" fillId="11" borderId="20" xfId="0" applyFont="1" applyFill="1" applyBorder="1" applyAlignment="1">
      <alignment horizontal="center" vertical="center"/>
    </xf>
    <xf numFmtId="0" fontId="21" fillId="33" borderId="18" xfId="0" applyFont="1" applyFill="1" applyBorder="1" applyAlignment="1">
      <alignment horizontal="center" vertical="center" wrapText="1"/>
    </xf>
    <xf numFmtId="0" fontId="21" fillId="33" borderId="21" xfId="0" applyFont="1" applyFill="1" applyBorder="1" applyAlignment="1">
      <alignment horizontal="center" vertical="center" wrapText="1"/>
    </xf>
    <xf numFmtId="0" fontId="21" fillId="33" borderId="23" xfId="0" applyFont="1" applyFill="1" applyBorder="1" applyAlignment="1">
      <alignment horizontal="center" vertical="center" wrapText="1"/>
    </xf>
    <xf numFmtId="0" fontId="17" fillId="27" borderId="18" xfId="0" applyFont="1" applyFill="1" applyBorder="1" applyAlignment="1">
      <alignment horizontal="center" vertical="center"/>
    </xf>
    <xf numFmtId="0" fontId="17" fillId="27" borderId="21" xfId="0" applyFont="1" applyFill="1" applyBorder="1" applyAlignment="1">
      <alignment horizontal="center" vertical="center"/>
    </xf>
    <xf numFmtId="0" fontId="17" fillId="27" borderId="23" xfId="0" applyFont="1" applyFill="1" applyBorder="1" applyAlignment="1">
      <alignment horizontal="center" vertical="center"/>
    </xf>
    <xf numFmtId="0" fontId="1" fillId="22" borderId="18" xfId="0" applyFont="1" applyFill="1" applyBorder="1" applyAlignment="1">
      <alignment horizontal="center" vertical="center"/>
    </xf>
    <xf numFmtId="0" fontId="1" fillId="22" borderId="21" xfId="0" applyFont="1" applyFill="1" applyBorder="1" applyAlignment="1">
      <alignment horizontal="center" vertical="center"/>
    </xf>
    <xf numFmtId="0" fontId="1" fillId="22" borderId="23" xfId="0" applyFont="1" applyFill="1" applyBorder="1" applyAlignment="1">
      <alignment horizontal="center" vertical="center"/>
    </xf>
    <xf numFmtId="0" fontId="1" fillId="23" borderId="18" xfId="0" applyFont="1" applyFill="1" applyBorder="1" applyAlignment="1">
      <alignment horizontal="center" vertical="center"/>
    </xf>
    <xf numFmtId="0" fontId="1" fillId="23" borderId="21" xfId="0" applyFont="1" applyFill="1" applyBorder="1" applyAlignment="1">
      <alignment horizontal="center" vertical="center"/>
    </xf>
    <xf numFmtId="0" fontId="1" fillId="23" borderId="23" xfId="0" applyFont="1" applyFill="1" applyBorder="1" applyAlignment="1">
      <alignment horizontal="center" vertical="center"/>
    </xf>
    <xf numFmtId="0" fontId="1" fillId="28" borderId="18" xfId="0" applyFont="1" applyFill="1" applyBorder="1" applyAlignment="1">
      <alignment horizontal="center" vertical="center"/>
    </xf>
    <xf numFmtId="0" fontId="1" fillId="28" borderId="21" xfId="0" applyFont="1" applyFill="1" applyBorder="1" applyAlignment="1">
      <alignment horizontal="center" vertical="center"/>
    </xf>
    <xf numFmtId="0" fontId="1" fillId="28" borderId="23" xfId="0" applyFont="1" applyFill="1" applyBorder="1" applyAlignment="1">
      <alignment horizontal="center" vertical="center"/>
    </xf>
    <xf numFmtId="0" fontId="1" fillId="24" borderId="18" xfId="0" applyFont="1" applyFill="1" applyBorder="1" applyAlignment="1">
      <alignment horizontal="center" vertical="center"/>
    </xf>
    <xf numFmtId="0" fontId="1" fillId="24" borderId="21" xfId="0" applyFont="1" applyFill="1" applyBorder="1" applyAlignment="1">
      <alignment horizontal="center" vertical="center"/>
    </xf>
    <xf numFmtId="0" fontId="1" fillId="24" borderId="23" xfId="0" applyFont="1" applyFill="1" applyBorder="1" applyAlignment="1">
      <alignment horizontal="center" vertical="center"/>
    </xf>
    <xf numFmtId="0" fontId="1" fillId="25" borderId="18" xfId="0" applyFont="1" applyFill="1" applyBorder="1" applyAlignment="1">
      <alignment horizontal="center" vertical="center"/>
    </xf>
    <xf numFmtId="0" fontId="1" fillId="25" borderId="21" xfId="0" applyFont="1" applyFill="1" applyBorder="1" applyAlignment="1">
      <alignment horizontal="center" vertical="center"/>
    </xf>
    <xf numFmtId="0" fontId="1" fillId="25" borderId="23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23" fillId="18" borderId="32" xfId="0" applyFont="1" applyFill="1" applyBorder="1" applyAlignment="1">
      <alignment horizontal="center"/>
    </xf>
    <xf numFmtId="0" fontId="23" fillId="18" borderId="33" xfId="0" applyFont="1" applyFill="1" applyBorder="1" applyAlignment="1">
      <alignment horizontal="center"/>
    </xf>
    <xf numFmtId="0" fontId="23" fillId="18" borderId="34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26" fillId="30" borderId="12" xfId="0" applyFont="1" applyFill="1" applyBorder="1" applyAlignment="1">
      <alignment horizontal="center" vertical="center" textRotation="255" wrapText="1"/>
    </xf>
    <xf numFmtId="0" fontId="26" fillId="30" borderId="13" xfId="0" applyFont="1" applyFill="1" applyBorder="1" applyAlignment="1">
      <alignment horizontal="center" vertical="center" textRotation="255" wrapText="1"/>
    </xf>
    <xf numFmtId="0" fontId="26" fillId="30" borderId="14" xfId="0" applyFont="1" applyFill="1" applyBorder="1" applyAlignment="1">
      <alignment horizontal="center" vertical="center" textRotation="255" wrapText="1"/>
    </xf>
    <xf numFmtId="0" fontId="15" fillId="7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6" fillId="18" borderId="8" xfId="0" applyFont="1" applyFill="1" applyBorder="1" applyAlignment="1">
      <alignment horizontal="right" vertical="center"/>
    </xf>
    <xf numFmtId="0" fontId="6" fillId="18" borderId="10" xfId="0" applyFont="1" applyFill="1" applyBorder="1" applyAlignment="1">
      <alignment horizontal="right" vertical="center"/>
    </xf>
    <xf numFmtId="0" fontId="23" fillId="18" borderId="8" xfId="0" applyFont="1" applyFill="1" applyBorder="1" applyAlignment="1">
      <alignment horizontal="center" vertical="center"/>
    </xf>
    <xf numFmtId="0" fontId="23" fillId="18" borderId="10" xfId="0" applyFont="1" applyFill="1" applyBorder="1" applyAlignment="1">
      <alignment horizontal="center" vertical="center"/>
    </xf>
    <xf numFmtId="0" fontId="23" fillId="18" borderId="9" xfId="0" applyFont="1" applyFill="1" applyBorder="1" applyAlignment="1">
      <alignment horizontal="center" vertical="center"/>
    </xf>
    <xf numFmtId="0" fontId="0" fillId="18" borderId="57" xfId="0" applyFont="1" applyFill="1" applyBorder="1" applyAlignment="1">
      <alignment horizontal="center" vertical="center" wrapText="1"/>
    </xf>
    <xf numFmtId="0" fontId="3" fillId="18" borderId="45" xfId="0" applyFont="1" applyFill="1" applyBorder="1" applyAlignment="1">
      <alignment horizontal="center" vertical="center"/>
    </xf>
    <xf numFmtId="0" fontId="3" fillId="18" borderId="56" xfId="0" applyFont="1" applyFill="1" applyBorder="1" applyAlignment="1">
      <alignment horizontal="center" vertical="center"/>
    </xf>
    <xf numFmtId="0" fontId="3" fillId="18" borderId="52" xfId="0" applyFont="1" applyFill="1" applyBorder="1" applyAlignment="1">
      <alignment horizontal="center" vertical="center"/>
    </xf>
    <xf numFmtId="0" fontId="14" fillId="18" borderId="12" xfId="0" applyFont="1" applyFill="1" applyBorder="1" applyAlignment="1">
      <alignment horizontal="center" vertical="center" textRotation="255" wrapText="1"/>
    </xf>
    <xf numFmtId="0" fontId="14" fillId="18" borderId="13" xfId="0" applyFont="1" applyFill="1" applyBorder="1" applyAlignment="1">
      <alignment horizontal="center" vertical="center" textRotation="255" wrapText="1"/>
    </xf>
    <xf numFmtId="0" fontId="14" fillId="18" borderId="14" xfId="0" applyFont="1" applyFill="1" applyBorder="1" applyAlignment="1">
      <alignment horizontal="center" vertical="center" textRotation="255" wrapText="1"/>
    </xf>
    <xf numFmtId="0" fontId="3" fillId="18" borderId="8" xfId="0" applyFont="1" applyFill="1" applyBorder="1" applyAlignment="1">
      <alignment horizontal="center" vertical="center"/>
    </xf>
    <xf numFmtId="0" fontId="3" fillId="18" borderId="10" xfId="0" applyFont="1" applyFill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/>
    </xf>
    <xf numFmtId="0" fontId="26" fillId="30" borderId="8" xfId="0" applyFont="1" applyFill="1" applyBorder="1" applyAlignment="1">
      <alignment horizontal="center" vertical="center" textRotation="255" wrapText="1"/>
    </xf>
    <xf numFmtId="0" fontId="26" fillId="30" borderId="27" xfId="0" applyFont="1" applyFill="1" applyBorder="1" applyAlignment="1">
      <alignment horizontal="center" vertical="center" textRotation="255" wrapText="1"/>
    </xf>
    <xf numFmtId="0" fontId="26" fillId="30" borderId="29" xfId="0" applyFont="1" applyFill="1" applyBorder="1" applyAlignment="1">
      <alignment horizontal="center" vertical="center" textRotation="255" wrapText="1"/>
    </xf>
    <xf numFmtId="0" fontId="5" fillId="18" borderId="10" xfId="0" applyFont="1" applyFill="1" applyBorder="1" applyAlignment="1">
      <alignment horizontal="center" vertical="center"/>
    </xf>
    <xf numFmtId="0" fontId="5" fillId="18" borderId="9" xfId="0" applyFont="1" applyFill="1" applyBorder="1" applyAlignment="1">
      <alignment horizontal="center" vertical="center"/>
    </xf>
    <xf numFmtId="0" fontId="3" fillId="18" borderId="55" xfId="0" applyFont="1" applyFill="1" applyBorder="1" applyAlignment="1">
      <alignment horizontal="center" vertical="center"/>
    </xf>
    <xf numFmtId="0" fontId="3" fillId="18" borderId="63" xfId="0" applyFont="1" applyFill="1" applyBorder="1" applyAlignment="1">
      <alignment horizontal="center" vertical="center"/>
    </xf>
    <xf numFmtId="0" fontId="0" fillId="34" borderId="55" xfId="0" applyFont="1" applyFill="1" applyBorder="1" applyAlignment="1">
      <alignment horizontal="center" vertical="center" wrapText="1"/>
    </xf>
    <xf numFmtId="0" fontId="0" fillId="34" borderId="41" xfId="0" applyFont="1" applyFill="1" applyBorder="1" applyAlignment="1">
      <alignment horizontal="center" vertical="center" wrapText="1"/>
    </xf>
    <xf numFmtId="0" fontId="0" fillId="34" borderId="44" xfId="0" applyFont="1" applyFill="1" applyBorder="1" applyAlignment="1">
      <alignment horizontal="center" vertical="center" wrapText="1"/>
    </xf>
    <xf numFmtId="0" fontId="24" fillId="34" borderId="7" xfId="0" applyFont="1" applyFill="1" applyBorder="1" applyAlignment="1">
      <alignment horizontal="center" vertical="center"/>
    </xf>
    <xf numFmtId="0" fontId="24" fillId="34" borderId="11" xfId="0" applyFont="1" applyFill="1" applyBorder="1" applyAlignment="1">
      <alignment horizontal="center" vertical="center"/>
    </xf>
    <xf numFmtId="0" fontId="0" fillId="34" borderId="55" xfId="0" applyFont="1" applyFill="1" applyBorder="1" applyAlignment="1">
      <alignment horizontal="center" vertical="center"/>
    </xf>
    <xf numFmtId="0" fontId="0" fillId="34" borderId="41" xfId="0" applyFont="1" applyFill="1" applyBorder="1" applyAlignment="1">
      <alignment horizontal="center" vertical="center"/>
    </xf>
    <xf numFmtId="0" fontId="0" fillId="34" borderId="44" xfId="0" applyFont="1" applyFill="1" applyBorder="1" applyAlignment="1">
      <alignment horizontal="center" vertical="center"/>
    </xf>
  </cellXfs>
  <cellStyles count="4">
    <cellStyle name="Lien hypertexte" xfId="2" builtinId="8"/>
    <cellStyle name="Normal" xfId="0" builtinId="0"/>
    <cellStyle name="Normal_20101105 - eMS Customer Requirements_rel_A" xfId="1" xr:uid="{8E2B2401-B4B9-434D-A69D-439DF8D7512A}"/>
    <cellStyle name="Pourcentage" xfId="3" builtinId="5"/>
  </cellStyles>
  <dxfs count="358"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966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ill>
        <patternFill>
          <bgColor theme="3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rgb="FFCCCCFF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rgb="FFCCCCFF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966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966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966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b/>
        <i val="0"/>
        <color theme="6" tint="-0.24994659260841701"/>
      </font>
    </dxf>
    <dxf>
      <font>
        <b/>
        <i val="0"/>
        <color theme="9" tint="-0.24994659260841701"/>
      </font>
    </dxf>
    <dxf>
      <font>
        <b/>
        <i val="0"/>
        <color theme="7" tint="-0.24994659260841701"/>
      </font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b/>
        <i val="0"/>
        <color theme="4"/>
      </font>
    </dxf>
    <dxf>
      <font>
        <b/>
        <i val="0"/>
        <color rgb="FFFF0000"/>
      </font>
    </dxf>
    <dxf>
      <font>
        <color theme="0" tint="-0.14996795556505021"/>
      </font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b/>
        <i val="0"/>
        <color theme="5"/>
      </font>
    </dxf>
    <dxf>
      <font>
        <b/>
        <i val="0"/>
        <color theme="4" tint="-0.24994659260841701"/>
      </font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b val="0"/>
        <i val="0"/>
        <color theme="5"/>
      </font>
    </dxf>
    <dxf>
      <font>
        <color theme="0" tint="-0.24994659260841701"/>
      </font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b val="0"/>
        <i val="0"/>
        <color theme="5"/>
      </font>
    </dxf>
    <dxf>
      <font>
        <color theme="0" tint="-0.24994659260841701"/>
      </font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b/>
        <i val="0"/>
        <color theme="6" tint="-0.24994659260841701"/>
      </font>
    </dxf>
    <dxf>
      <font>
        <b/>
        <i val="0"/>
        <color theme="7" tint="-0.24994659260841701"/>
      </font>
    </dxf>
    <dxf>
      <font>
        <b/>
        <i val="0"/>
        <color theme="9" tint="-0.24994659260841701"/>
      </font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6"/>
        </patternFill>
      </fill>
    </dxf>
    <dxf>
      <font>
        <b/>
        <i val="0"/>
        <color theme="5"/>
      </font>
    </dxf>
    <dxf>
      <font>
        <b/>
        <i val="0"/>
        <color theme="4" tint="-0.24994659260841701"/>
      </font>
    </dxf>
  </dxfs>
  <tableStyles count="0" defaultTableStyle="TableStyleMedium2" defaultPivotStyle="PivotStyleLight16"/>
  <colors>
    <mruColors>
      <color rgb="FFFFFFFF"/>
      <color rgb="FFFFF2CC"/>
      <color rgb="FFCC99FF"/>
      <color rgb="FF9966FF"/>
      <color rgb="FF666666"/>
      <color rgb="FFF4CCCC"/>
      <color rgb="FFD9D2E9"/>
      <color rgb="FFD0E0E3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solidFill>
                  <a:schemeClr val="accent5">
                    <a:lumMod val="75000"/>
                  </a:schemeClr>
                </a:solidFill>
                <a:effectLst/>
              </a:rPr>
              <a:t>Importance of era </a:t>
            </a:r>
            <a:endParaRPr lang="fr-FR">
              <a:solidFill>
                <a:schemeClr val="accent5">
                  <a:lumMod val="75000"/>
                </a:schemeClr>
              </a:solidFill>
              <a:effectLst/>
            </a:endParaRPr>
          </a:p>
          <a:p>
            <a:pPr>
              <a:defRPr>
                <a:solidFill>
                  <a:schemeClr val="accent5">
                    <a:lumMod val="75000"/>
                  </a:schemeClr>
                </a:solidFill>
              </a:defRPr>
            </a:pPr>
            <a:r>
              <a:rPr lang="en-US" sz="1800" b="0" i="0" baseline="0">
                <a:solidFill>
                  <a:schemeClr val="accent5">
                    <a:lumMod val="75000"/>
                  </a:schemeClr>
                </a:solidFill>
                <a:effectLst/>
              </a:rPr>
              <a:t>for each affinity</a:t>
            </a:r>
            <a:endParaRPr lang="fr-FR">
              <a:solidFill>
                <a:schemeClr val="accent5">
                  <a:lumMod val="7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Cover!$G$5</c:f>
              <c:strCache>
                <c:ptCount val="1"/>
                <c:pt idx="0">
                  <c:v>1 - Ancient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Cover!$F$6:$F$12</c:f>
              <c:strCache>
                <c:ptCount val="7"/>
                <c:pt idx="0">
                  <c:v>Builder</c:v>
                </c:pt>
                <c:pt idx="1">
                  <c:v>Agrarian</c:v>
                </c:pt>
                <c:pt idx="2">
                  <c:v>Expansionist</c:v>
                </c:pt>
                <c:pt idx="3">
                  <c:v>Militarist</c:v>
                </c:pt>
                <c:pt idx="4">
                  <c:v>Aesthete</c:v>
                </c:pt>
                <c:pt idx="5">
                  <c:v>Merchant</c:v>
                </c:pt>
                <c:pt idx="6">
                  <c:v>Scientist</c:v>
                </c:pt>
              </c:strCache>
            </c:strRef>
          </c:cat>
          <c:val>
            <c:numRef>
              <c:f>Cover!$G$6:$G$12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0-4F6C-BD83-DF1309D232A4}"/>
            </c:ext>
          </c:extLst>
        </c:ser>
        <c:ser>
          <c:idx val="1"/>
          <c:order val="1"/>
          <c:tx>
            <c:strRef>
              <c:f>Cover!$H$5</c:f>
              <c:strCache>
                <c:ptCount val="1"/>
                <c:pt idx="0">
                  <c:v>2 - Classical</c:v>
                </c:pt>
              </c:strCache>
            </c:strRef>
          </c:tx>
          <c:spPr>
            <a:solidFill>
              <a:srgbClr val="D0E0E3"/>
            </a:solidFill>
            <a:ln>
              <a:noFill/>
            </a:ln>
            <a:effectLst/>
          </c:spPr>
          <c:invertIfNegative val="0"/>
          <c:cat>
            <c:strRef>
              <c:f>Cover!$F$6:$F$12</c:f>
              <c:strCache>
                <c:ptCount val="7"/>
                <c:pt idx="0">
                  <c:v>Builder</c:v>
                </c:pt>
                <c:pt idx="1">
                  <c:v>Agrarian</c:v>
                </c:pt>
                <c:pt idx="2">
                  <c:v>Expansionist</c:v>
                </c:pt>
                <c:pt idx="3">
                  <c:v>Militarist</c:v>
                </c:pt>
                <c:pt idx="4">
                  <c:v>Aesthete</c:v>
                </c:pt>
                <c:pt idx="5">
                  <c:v>Merchant</c:v>
                </c:pt>
                <c:pt idx="6">
                  <c:v>Scientist</c:v>
                </c:pt>
              </c:strCache>
            </c:strRef>
          </c:cat>
          <c:val>
            <c:numRef>
              <c:f>Cover!$H$6:$H$12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10-4F6C-BD83-DF1309D232A4}"/>
            </c:ext>
          </c:extLst>
        </c:ser>
        <c:ser>
          <c:idx val="2"/>
          <c:order val="2"/>
          <c:tx>
            <c:strRef>
              <c:f>Cover!$I$5</c:f>
              <c:strCache>
                <c:ptCount val="1"/>
                <c:pt idx="0">
                  <c:v>3 - Medieval</c:v>
                </c:pt>
              </c:strCache>
            </c:strRef>
          </c:tx>
          <c:spPr>
            <a:solidFill>
              <a:srgbClr val="D9D2E9"/>
            </a:solidFill>
            <a:ln>
              <a:noFill/>
            </a:ln>
            <a:effectLst/>
          </c:spPr>
          <c:invertIfNegative val="0"/>
          <c:cat>
            <c:strRef>
              <c:f>Cover!$F$6:$F$12</c:f>
              <c:strCache>
                <c:ptCount val="7"/>
                <c:pt idx="0">
                  <c:v>Builder</c:v>
                </c:pt>
                <c:pt idx="1">
                  <c:v>Agrarian</c:v>
                </c:pt>
                <c:pt idx="2">
                  <c:v>Expansionist</c:v>
                </c:pt>
                <c:pt idx="3">
                  <c:v>Militarist</c:v>
                </c:pt>
                <c:pt idx="4">
                  <c:v>Aesthete</c:v>
                </c:pt>
                <c:pt idx="5">
                  <c:v>Merchant</c:v>
                </c:pt>
                <c:pt idx="6">
                  <c:v>Scientist</c:v>
                </c:pt>
              </c:strCache>
            </c:strRef>
          </c:cat>
          <c:val>
            <c:numRef>
              <c:f>Cover!$I$6:$I$12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10-4F6C-BD83-DF1309D232A4}"/>
            </c:ext>
          </c:extLst>
        </c:ser>
        <c:ser>
          <c:idx val="3"/>
          <c:order val="3"/>
          <c:tx>
            <c:strRef>
              <c:f>Cover!$J$5</c:f>
              <c:strCache>
                <c:ptCount val="1"/>
                <c:pt idx="0">
                  <c:v>4 - Early Modern</c:v>
                </c:pt>
              </c:strCache>
            </c:strRef>
          </c:tx>
          <c:spPr>
            <a:solidFill>
              <a:srgbClr val="F4CCCC"/>
            </a:solidFill>
            <a:ln>
              <a:noFill/>
            </a:ln>
            <a:effectLst/>
          </c:spPr>
          <c:invertIfNegative val="0"/>
          <c:cat>
            <c:strRef>
              <c:f>Cover!$F$6:$F$12</c:f>
              <c:strCache>
                <c:ptCount val="7"/>
                <c:pt idx="0">
                  <c:v>Builder</c:v>
                </c:pt>
                <c:pt idx="1">
                  <c:v>Agrarian</c:v>
                </c:pt>
                <c:pt idx="2">
                  <c:v>Expansionist</c:v>
                </c:pt>
                <c:pt idx="3">
                  <c:v>Militarist</c:v>
                </c:pt>
                <c:pt idx="4">
                  <c:v>Aesthete</c:v>
                </c:pt>
                <c:pt idx="5">
                  <c:v>Merchant</c:v>
                </c:pt>
                <c:pt idx="6">
                  <c:v>Scientist</c:v>
                </c:pt>
              </c:strCache>
            </c:strRef>
          </c:cat>
          <c:val>
            <c:numRef>
              <c:f>Cover!$J$6:$J$12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10-4F6C-BD83-DF1309D232A4}"/>
            </c:ext>
          </c:extLst>
        </c:ser>
        <c:ser>
          <c:idx val="4"/>
          <c:order val="4"/>
          <c:tx>
            <c:strRef>
              <c:f>Cover!$K$5</c:f>
              <c:strCache>
                <c:ptCount val="1"/>
                <c:pt idx="0">
                  <c:v>5 - Industrial</c:v>
                </c:pt>
              </c:strCache>
            </c:strRef>
          </c:tx>
          <c:spPr>
            <a:solidFill>
              <a:srgbClr val="FFF2CC"/>
            </a:solidFill>
            <a:ln>
              <a:noFill/>
            </a:ln>
            <a:effectLst/>
          </c:spPr>
          <c:invertIfNegative val="0"/>
          <c:cat>
            <c:strRef>
              <c:f>Cover!$F$6:$F$12</c:f>
              <c:strCache>
                <c:ptCount val="7"/>
                <c:pt idx="0">
                  <c:v>Builder</c:v>
                </c:pt>
                <c:pt idx="1">
                  <c:v>Agrarian</c:v>
                </c:pt>
                <c:pt idx="2">
                  <c:v>Expansionist</c:v>
                </c:pt>
                <c:pt idx="3">
                  <c:v>Militarist</c:v>
                </c:pt>
                <c:pt idx="4">
                  <c:v>Aesthete</c:v>
                </c:pt>
                <c:pt idx="5">
                  <c:v>Merchant</c:v>
                </c:pt>
                <c:pt idx="6">
                  <c:v>Scientist</c:v>
                </c:pt>
              </c:strCache>
            </c:strRef>
          </c:cat>
          <c:val>
            <c:numRef>
              <c:f>Cover!$K$6:$K$12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10-4F6C-BD83-DF1309D232A4}"/>
            </c:ext>
          </c:extLst>
        </c:ser>
        <c:ser>
          <c:idx val="5"/>
          <c:order val="5"/>
          <c:tx>
            <c:strRef>
              <c:f>Cover!$L$5</c:f>
              <c:strCache>
                <c:ptCount val="1"/>
                <c:pt idx="0">
                  <c:v>6 - Contemporary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Cover!$F$6:$F$12</c:f>
              <c:strCache>
                <c:ptCount val="7"/>
                <c:pt idx="0">
                  <c:v>Builder</c:v>
                </c:pt>
                <c:pt idx="1">
                  <c:v>Agrarian</c:v>
                </c:pt>
                <c:pt idx="2">
                  <c:v>Expansionist</c:v>
                </c:pt>
                <c:pt idx="3">
                  <c:v>Militarist</c:v>
                </c:pt>
                <c:pt idx="4">
                  <c:v>Aesthete</c:v>
                </c:pt>
                <c:pt idx="5">
                  <c:v>Merchant</c:v>
                </c:pt>
                <c:pt idx="6">
                  <c:v>Scientist</c:v>
                </c:pt>
              </c:strCache>
            </c:strRef>
          </c:cat>
          <c:val>
            <c:numRef>
              <c:f>Cover!$L$6:$L$12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10-4F6C-BD83-DF1309D23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5840064"/>
        <c:axId val="375836784"/>
      </c:barChart>
      <c:catAx>
        <c:axId val="37584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5836784"/>
        <c:crosses val="autoZero"/>
        <c:auto val="1"/>
        <c:lblAlgn val="ctr"/>
        <c:lblOffset val="100"/>
        <c:noMultiLvlLbl val="0"/>
      </c:catAx>
      <c:valAx>
        <c:axId val="37583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584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solidFill>
                  <a:schemeClr val="accent5">
                    <a:lumMod val="75000"/>
                  </a:schemeClr>
                </a:solidFill>
                <a:effectLst/>
              </a:rPr>
              <a:t>Number of affinities  </a:t>
            </a:r>
            <a:endParaRPr lang="fr-FR">
              <a:solidFill>
                <a:schemeClr val="accent5">
                  <a:lumMod val="75000"/>
                </a:schemeClr>
              </a:solidFill>
              <a:effectLst/>
            </a:endParaRPr>
          </a:p>
          <a:p>
            <a:pPr>
              <a:defRPr>
                <a:solidFill>
                  <a:schemeClr val="accent5">
                    <a:lumMod val="75000"/>
                  </a:schemeClr>
                </a:solidFill>
              </a:defRPr>
            </a:pPr>
            <a:r>
              <a:rPr lang="en-US" sz="1800" b="0" i="0" baseline="0">
                <a:solidFill>
                  <a:schemeClr val="accent5">
                    <a:lumMod val="75000"/>
                  </a:schemeClr>
                </a:solidFill>
                <a:effectLst/>
              </a:rPr>
              <a:t>available in each era</a:t>
            </a:r>
            <a:endParaRPr lang="fr-FR">
              <a:solidFill>
                <a:schemeClr val="accent5">
                  <a:lumMod val="75000"/>
                </a:scheme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Cover!$F$6</c:f>
              <c:strCache>
                <c:ptCount val="1"/>
                <c:pt idx="0">
                  <c:v>Builder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Cover!$G$5:$L$5</c:f>
              <c:strCache>
                <c:ptCount val="6"/>
                <c:pt idx="0">
                  <c:v>1 - Ancient</c:v>
                </c:pt>
                <c:pt idx="1">
                  <c:v>2 - Classical</c:v>
                </c:pt>
                <c:pt idx="2">
                  <c:v>3 - Medieval</c:v>
                </c:pt>
                <c:pt idx="3">
                  <c:v>4 - Early Modern</c:v>
                </c:pt>
                <c:pt idx="4">
                  <c:v>5 - Industrial</c:v>
                </c:pt>
                <c:pt idx="5">
                  <c:v>6 - Contemporary</c:v>
                </c:pt>
              </c:strCache>
            </c:strRef>
          </c:cat>
          <c:val>
            <c:numRef>
              <c:f>Cover!$G$6:$L$6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8-4120-8057-B35862CFD89D}"/>
            </c:ext>
          </c:extLst>
        </c:ser>
        <c:ser>
          <c:idx val="1"/>
          <c:order val="1"/>
          <c:tx>
            <c:strRef>
              <c:f>Cover!$F$7</c:f>
              <c:strCache>
                <c:ptCount val="1"/>
                <c:pt idx="0">
                  <c:v>Agrarian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Cover!$G$5:$L$5</c:f>
              <c:strCache>
                <c:ptCount val="6"/>
                <c:pt idx="0">
                  <c:v>1 - Ancient</c:v>
                </c:pt>
                <c:pt idx="1">
                  <c:v>2 - Classical</c:v>
                </c:pt>
                <c:pt idx="2">
                  <c:v>3 - Medieval</c:v>
                </c:pt>
                <c:pt idx="3">
                  <c:v>4 - Early Modern</c:v>
                </c:pt>
                <c:pt idx="4">
                  <c:v>5 - Industrial</c:v>
                </c:pt>
                <c:pt idx="5">
                  <c:v>6 - Contemporary</c:v>
                </c:pt>
              </c:strCache>
            </c:strRef>
          </c:cat>
          <c:val>
            <c:numRef>
              <c:f>Cover!$G$7:$L$7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8-4120-8057-B35862CFD89D}"/>
            </c:ext>
          </c:extLst>
        </c:ser>
        <c:ser>
          <c:idx val="2"/>
          <c:order val="2"/>
          <c:tx>
            <c:strRef>
              <c:f>Cover!$F$8</c:f>
              <c:strCache>
                <c:ptCount val="1"/>
                <c:pt idx="0">
                  <c:v>Expansionist</c:v>
                </c:pt>
              </c:strCache>
            </c:strRef>
          </c:tx>
          <c:spPr>
            <a:solidFill>
              <a:srgbClr val="9966FF"/>
            </a:solidFill>
            <a:ln>
              <a:noFill/>
            </a:ln>
            <a:effectLst/>
          </c:spPr>
          <c:invertIfNegative val="0"/>
          <c:cat>
            <c:strRef>
              <c:f>Cover!$G$5:$L$5</c:f>
              <c:strCache>
                <c:ptCount val="6"/>
                <c:pt idx="0">
                  <c:v>1 - Ancient</c:v>
                </c:pt>
                <c:pt idx="1">
                  <c:v>2 - Classical</c:v>
                </c:pt>
                <c:pt idx="2">
                  <c:v>3 - Medieval</c:v>
                </c:pt>
                <c:pt idx="3">
                  <c:v>4 - Early Modern</c:v>
                </c:pt>
                <c:pt idx="4">
                  <c:v>5 - Industrial</c:v>
                </c:pt>
                <c:pt idx="5">
                  <c:v>6 - Contemporary</c:v>
                </c:pt>
              </c:strCache>
            </c:strRef>
          </c:cat>
          <c:val>
            <c:numRef>
              <c:f>Cover!$G$8:$L$8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38-4120-8057-B35862CFD89D}"/>
            </c:ext>
          </c:extLst>
        </c:ser>
        <c:ser>
          <c:idx val="3"/>
          <c:order val="3"/>
          <c:tx>
            <c:strRef>
              <c:f>Cover!$F$9</c:f>
              <c:strCache>
                <c:ptCount val="1"/>
                <c:pt idx="0">
                  <c:v>Militarist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Cover!$G$5:$L$5</c:f>
              <c:strCache>
                <c:ptCount val="6"/>
                <c:pt idx="0">
                  <c:v>1 - Ancient</c:v>
                </c:pt>
                <c:pt idx="1">
                  <c:v>2 - Classical</c:v>
                </c:pt>
                <c:pt idx="2">
                  <c:v>3 - Medieval</c:v>
                </c:pt>
                <c:pt idx="3">
                  <c:v>4 - Early Modern</c:v>
                </c:pt>
                <c:pt idx="4">
                  <c:v>5 - Industrial</c:v>
                </c:pt>
                <c:pt idx="5">
                  <c:v>6 - Contemporary</c:v>
                </c:pt>
              </c:strCache>
            </c:strRef>
          </c:cat>
          <c:val>
            <c:numRef>
              <c:f>Cover!$G$9:$L$9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38-4120-8057-B35862CFD89D}"/>
            </c:ext>
          </c:extLst>
        </c:ser>
        <c:ser>
          <c:idx val="4"/>
          <c:order val="4"/>
          <c:tx>
            <c:strRef>
              <c:f>Cover!$F$10</c:f>
              <c:strCache>
                <c:ptCount val="1"/>
                <c:pt idx="0">
                  <c:v>Aesthete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</c:spPr>
          <c:invertIfNegative val="0"/>
          <c:cat>
            <c:strRef>
              <c:f>Cover!$G$5:$L$5</c:f>
              <c:strCache>
                <c:ptCount val="6"/>
                <c:pt idx="0">
                  <c:v>1 - Ancient</c:v>
                </c:pt>
                <c:pt idx="1">
                  <c:v>2 - Classical</c:v>
                </c:pt>
                <c:pt idx="2">
                  <c:v>3 - Medieval</c:v>
                </c:pt>
                <c:pt idx="3">
                  <c:v>4 - Early Modern</c:v>
                </c:pt>
                <c:pt idx="4">
                  <c:v>5 - Industrial</c:v>
                </c:pt>
                <c:pt idx="5">
                  <c:v>6 - Contemporary</c:v>
                </c:pt>
              </c:strCache>
            </c:strRef>
          </c:cat>
          <c:val>
            <c:numRef>
              <c:f>Cover!$G$10:$L$10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38-4120-8057-B35862CFD89D}"/>
            </c:ext>
          </c:extLst>
        </c:ser>
        <c:ser>
          <c:idx val="5"/>
          <c:order val="5"/>
          <c:tx>
            <c:strRef>
              <c:f>Cover!$F$11</c:f>
              <c:strCache>
                <c:ptCount val="1"/>
                <c:pt idx="0">
                  <c:v>Merchant</c:v>
                </c:pt>
              </c:strCache>
            </c:strRef>
          </c:tx>
          <c:spPr>
            <a:solidFill>
              <a:srgbClr val="FFF2CC"/>
            </a:solidFill>
            <a:ln>
              <a:noFill/>
            </a:ln>
            <a:effectLst/>
          </c:spPr>
          <c:invertIfNegative val="0"/>
          <c:cat>
            <c:strRef>
              <c:f>Cover!$G$5:$L$5</c:f>
              <c:strCache>
                <c:ptCount val="6"/>
                <c:pt idx="0">
                  <c:v>1 - Ancient</c:v>
                </c:pt>
                <c:pt idx="1">
                  <c:v>2 - Classical</c:v>
                </c:pt>
                <c:pt idx="2">
                  <c:v>3 - Medieval</c:v>
                </c:pt>
                <c:pt idx="3">
                  <c:v>4 - Early Modern</c:v>
                </c:pt>
                <c:pt idx="4">
                  <c:v>5 - Industrial</c:v>
                </c:pt>
                <c:pt idx="5">
                  <c:v>6 - Contemporary</c:v>
                </c:pt>
              </c:strCache>
            </c:strRef>
          </c:cat>
          <c:val>
            <c:numRef>
              <c:f>Cover!$G$11:$L$11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38-4120-8057-B35862CFD89D}"/>
            </c:ext>
          </c:extLst>
        </c:ser>
        <c:ser>
          <c:idx val="6"/>
          <c:order val="6"/>
          <c:tx>
            <c:strRef>
              <c:f>Cover!$F$12</c:f>
              <c:strCache>
                <c:ptCount val="1"/>
                <c:pt idx="0">
                  <c:v>Scientist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Cover!$G$5:$L$5</c:f>
              <c:strCache>
                <c:ptCount val="6"/>
                <c:pt idx="0">
                  <c:v>1 - Ancient</c:v>
                </c:pt>
                <c:pt idx="1">
                  <c:v>2 - Classical</c:v>
                </c:pt>
                <c:pt idx="2">
                  <c:v>3 - Medieval</c:v>
                </c:pt>
                <c:pt idx="3">
                  <c:v>4 - Early Modern</c:v>
                </c:pt>
                <c:pt idx="4">
                  <c:v>5 - Industrial</c:v>
                </c:pt>
                <c:pt idx="5">
                  <c:v>6 - Contemporary</c:v>
                </c:pt>
              </c:strCache>
            </c:strRef>
          </c:cat>
          <c:val>
            <c:numRef>
              <c:f>Cover!$G$12:$L$12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38-4120-8057-B35862CFD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8860944"/>
        <c:axId val="688855040"/>
      </c:barChart>
      <c:catAx>
        <c:axId val="68886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8855040"/>
        <c:crosses val="autoZero"/>
        <c:auto val="1"/>
        <c:lblAlgn val="ctr"/>
        <c:lblOffset val="100"/>
        <c:noMultiLvlLbl val="0"/>
      </c:catAx>
      <c:valAx>
        <c:axId val="68885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886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Cultures selected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Cultures!$D$4:$D$63</c:f>
              <c:strCache>
                <c:ptCount val="60"/>
                <c:pt idx="0">
                  <c:v>Assyrians</c:v>
                </c:pt>
                <c:pt idx="1">
                  <c:v>Babylonians</c:v>
                </c:pt>
                <c:pt idx="2">
                  <c:v>Ancient Egyptians</c:v>
                </c:pt>
                <c:pt idx="3">
                  <c:v>Harappans</c:v>
                </c:pt>
                <c:pt idx="4">
                  <c:v>Hittites</c:v>
                </c:pt>
                <c:pt idx="5">
                  <c:v>Mycenaeans</c:v>
                </c:pt>
                <c:pt idx="6">
                  <c:v>Nubians</c:v>
                </c:pt>
                <c:pt idx="7">
                  <c:v>Olmecs</c:v>
                </c:pt>
                <c:pt idx="8">
                  <c:v>Phoenicians</c:v>
                </c:pt>
                <c:pt idx="9">
                  <c:v>Zhou</c:v>
                </c:pt>
                <c:pt idx="10">
                  <c:v>Achaemenid Persians</c:v>
                </c:pt>
                <c:pt idx="11">
                  <c:v>Aksumites</c:v>
                </c:pt>
                <c:pt idx="12">
                  <c:v>Carthaginians</c:v>
                </c:pt>
                <c:pt idx="13">
                  <c:v>Celts</c:v>
                </c:pt>
                <c:pt idx="14">
                  <c:v>Goths</c:v>
                </c:pt>
                <c:pt idx="15">
                  <c:v>Greeks</c:v>
                </c:pt>
                <c:pt idx="16">
                  <c:v>Huns</c:v>
                </c:pt>
                <c:pt idx="17">
                  <c:v>Mauryans</c:v>
                </c:pt>
                <c:pt idx="18">
                  <c:v>Maya</c:v>
                </c:pt>
                <c:pt idx="19">
                  <c:v>Romans</c:v>
                </c:pt>
                <c:pt idx="20">
                  <c:v>Aztecs</c:v>
                </c:pt>
                <c:pt idx="21">
                  <c:v>Byzantines</c:v>
                </c:pt>
                <c:pt idx="22">
                  <c:v>English</c:v>
                </c:pt>
                <c:pt idx="23">
                  <c:v>Franks</c:v>
                </c:pt>
                <c:pt idx="24">
                  <c:v>Ghanaians</c:v>
                </c:pt>
                <c:pt idx="25">
                  <c:v>Khmer</c:v>
                </c:pt>
                <c:pt idx="26">
                  <c:v>Mongols</c:v>
                </c:pt>
                <c:pt idx="27">
                  <c:v>Norsemen</c:v>
                </c:pt>
                <c:pt idx="28">
                  <c:v>Teutons</c:v>
                </c:pt>
                <c:pt idx="29">
                  <c:v>Umayyads</c:v>
                </c:pt>
                <c:pt idx="30">
                  <c:v>Dutch</c:v>
                </c:pt>
                <c:pt idx="31">
                  <c:v>Edo Japanese</c:v>
                </c:pt>
                <c:pt idx="32">
                  <c:v>Haudenosaunee</c:v>
                </c:pt>
                <c:pt idx="33">
                  <c:v>Joseon</c:v>
                </c:pt>
                <c:pt idx="34">
                  <c:v>Ming</c:v>
                </c:pt>
                <c:pt idx="35">
                  <c:v>Mughals</c:v>
                </c:pt>
                <c:pt idx="36">
                  <c:v>Ottomans</c:v>
                </c:pt>
                <c:pt idx="37">
                  <c:v>Poles</c:v>
                </c:pt>
                <c:pt idx="38">
                  <c:v>Spanish</c:v>
                </c:pt>
                <c:pt idx="39">
                  <c:v>Venetians</c:v>
                </c:pt>
                <c:pt idx="40">
                  <c:v>Austro-Hungarians</c:v>
                </c:pt>
                <c:pt idx="41">
                  <c:v>British</c:v>
                </c:pt>
                <c:pt idx="42">
                  <c:v>French</c:v>
                </c:pt>
                <c:pt idx="43">
                  <c:v>Germans</c:v>
                </c:pt>
                <c:pt idx="44">
                  <c:v>Italians</c:v>
                </c:pt>
                <c:pt idx="45">
                  <c:v>Mexicans</c:v>
                </c:pt>
                <c:pt idx="46">
                  <c:v>Persians</c:v>
                </c:pt>
                <c:pt idx="47">
                  <c:v>Russians</c:v>
                </c:pt>
                <c:pt idx="48">
                  <c:v>Siamese</c:v>
                </c:pt>
                <c:pt idx="49">
                  <c:v>Zulu</c:v>
                </c:pt>
                <c:pt idx="50">
                  <c:v>Americans</c:v>
                </c:pt>
                <c:pt idx="51">
                  <c:v>Australians</c:v>
                </c:pt>
                <c:pt idx="52">
                  <c:v>Brazilians</c:v>
                </c:pt>
                <c:pt idx="53">
                  <c:v>Chinese</c:v>
                </c:pt>
                <c:pt idx="54">
                  <c:v>Egyptians</c:v>
                </c:pt>
                <c:pt idx="55">
                  <c:v>Indians</c:v>
                </c:pt>
                <c:pt idx="56">
                  <c:v>Japanese</c:v>
                </c:pt>
                <c:pt idx="57">
                  <c:v>Soviets</c:v>
                </c:pt>
                <c:pt idx="58">
                  <c:v>Swedes</c:v>
                </c:pt>
                <c:pt idx="59">
                  <c:v>Turks</c:v>
                </c:pt>
              </c:strCache>
            </c:strRef>
          </c:cat>
          <c:val>
            <c:numRef>
              <c:f>Cultures!$H$4:$H$63</c:f>
              <c:numCache>
                <c:formatCode>General</c:formatCode>
                <c:ptCount val="60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7</c:v>
                </c:pt>
                <c:pt idx="24">
                  <c:v>1</c:v>
                </c:pt>
                <c:pt idx="25">
                  <c:v>6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3</c:v>
                </c:pt>
                <c:pt idx="34">
                  <c:v>5</c:v>
                </c:pt>
                <c:pt idx="35">
                  <c:v>4</c:v>
                </c:pt>
                <c:pt idx="36">
                  <c:v>1</c:v>
                </c:pt>
                <c:pt idx="37">
                  <c:v>3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1</c:v>
                </c:pt>
                <c:pt idx="42">
                  <c:v>8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3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1</c:v>
                </c:pt>
                <c:pt idx="58">
                  <c:v>4</c:v>
                </c:pt>
                <c:pt idx="5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9-42FB-AA5D-38282B1E5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04347256"/>
        <c:axId val="804347584"/>
      </c:barChart>
      <c:catAx>
        <c:axId val="804347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347584"/>
        <c:crosses val="autoZero"/>
        <c:auto val="1"/>
        <c:lblAlgn val="ctr"/>
        <c:lblOffset val="100"/>
        <c:noMultiLvlLbl val="0"/>
      </c:catAx>
      <c:valAx>
        <c:axId val="8043475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347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  <a:alpha val="26000"/>
      </a:schemeClr>
    </a:solidFill>
    <a:ln w="9525" cap="flat" cmpd="sng" algn="ctr">
      <a:solidFill>
        <a:schemeClr val="accent1"/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1 - Ancient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Cultures!$M$68:$M$74</c:f>
              <c:strCache>
                <c:ptCount val="7"/>
                <c:pt idx="0">
                  <c:v>Bui</c:v>
                </c:pt>
                <c:pt idx="1">
                  <c:v>Agr</c:v>
                </c:pt>
                <c:pt idx="2">
                  <c:v>Exp</c:v>
                </c:pt>
                <c:pt idx="3">
                  <c:v>Mil</c:v>
                </c:pt>
                <c:pt idx="4">
                  <c:v>Aes</c:v>
                </c:pt>
                <c:pt idx="5">
                  <c:v>Mer</c:v>
                </c:pt>
                <c:pt idx="6">
                  <c:v>Sci</c:v>
                </c:pt>
              </c:strCache>
            </c:strRef>
          </c:cat>
          <c:val>
            <c:numRef>
              <c:f>Cultures!$L$68:$L$74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7-4AA4-BF2E-159713DE6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1203056"/>
        <c:axId val="801205680"/>
      </c:barChart>
      <c:catAx>
        <c:axId val="80120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1205680"/>
        <c:crosses val="autoZero"/>
        <c:auto val="1"/>
        <c:lblAlgn val="ctr"/>
        <c:lblOffset val="100"/>
        <c:noMultiLvlLbl val="0"/>
      </c:catAx>
      <c:valAx>
        <c:axId val="801205680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120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alpha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2 - Classical</a:t>
            </a:r>
          </a:p>
        </c:rich>
      </c:tx>
      <c:layout>
        <c:manualLayout>
          <c:xMode val="edge"/>
          <c:yMode val="edge"/>
          <c:x val="0.42920390561596122"/>
          <c:y val="7.383720930232558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Cultures!$M$78:$M$84</c:f>
              <c:strCache>
                <c:ptCount val="7"/>
                <c:pt idx="0">
                  <c:v>Bui</c:v>
                </c:pt>
                <c:pt idx="1">
                  <c:v>Agr</c:v>
                </c:pt>
                <c:pt idx="2">
                  <c:v>Exp</c:v>
                </c:pt>
                <c:pt idx="3">
                  <c:v>Mil</c:v>
                </c:pt>
                <c:pt idx="4">
                  <c:v>Aes</c:v>
                </c:pt>
                <c:pt idx="5">
                  <c:v>Mer</c:v>
                </c:pt>
                <c:pt idx="6">
                  <c:v>Sci</c:v>
                </c:pt>
              </c:strCache>
            </c:strRef>
          </c:cat>
          <c:val>
            <c:numRef>
              <c:f>Cultures!$L$78:$L$84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8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A-403A-A49D-564B6273C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9103272"/>
        <c:axId val="439102288"/>
      </c:barChart>
      <c:catAx>
        <c:axId val="43910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102288"/>
        <c:crosses val="autoZero"/>
        <c:auto val="1"/>
        <c:lblAlgn val="ctr"/>
        <c:lblOffset val="100"/>
        <c:noMultiLvlLbl val="0"/>
      </c:catAx>
      <c:valAx>
        <c:axId val="43910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10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alpha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3 - Medieval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Cultures!$M$88:$M$94</c:f>
              <c:strCache>
                <c:ptCount val="7"/>
                <c:pt idx="0">
                  <c:v>Bui</c:v>
                </c:pt>
                <c:pt idx="1">
                  <c:v>Agr</c:v>
                </c:pt>
                <c:pt idx="2">
                  <c:v>Exp</c:v>
                </c:pt>
                <c:pt idx="3">
                  <c:v>Mil</c:v>
                </c:pt>
                <c:pt idx="4">
                  <c:v>Aes</c:v>
                </c:pt>
                <c:pt idx="5">
                  <c:v>Mer</c:v>
                </c:pt>
                <c:pt idx="6">
                  <c:v>Sci</c:v>
                </c:pt>
              </c:strCache>
            </c:strRef>
          </c:cat>
          <c:val>
            <c:numRef>
              <c:f>Cultures!$L$88:$L$94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7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0-4758-B72A-B040B1D96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1215520"/>
        <c:axId val="801214864"/>
      </c:barChart>
      <c:catAx>
        <c:axId val="8012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1214864"/>
        <c:crosses val="autoZero"/>
        <c:auto val="1"/>
        <c:lblAlgn val="ctr"/>
        <c:lblOffset val="100"/>
        <c:noMultiLvlLbl val="0"/>
      </c:catAx>
      <c:valAx>
        <c:axId val="801214864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121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alpha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4 - Early Modern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Cultures!$M$98:$M$104</c:f>
              <c:strCache>
                <c:ptCount val="7"/>
                <c:pt idx="0">
                  <c:v>Bui</c:v>
                </c:pt>
                <c:pt idx="1">
                  <c:v>Agr</c:v>
                </c:pt>
                <c:pt idx="2">
                  <c:v>Exp</c:v>
                </c:pt>
                <c:pt idx="3">
                  <c:v>Mil</c:v>
                </c:pt>
                <c:pt idx="4">
                  <c:v>Aes</c:v>
                </c:pt>
                <c:pt idx="5">
                  <c:v>Mer</c:v>
                </c:pt>
                <c:pt idx="6">
                  <c:v>Sci</c:v>
                </c:pt>
              </c:strCache>
            </c:strRef>
          </c:cat>
          <c:val>
            <c:numRef>
              <c:f>Cultures!$L$98:$L$104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8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1-4F57-B4F2-E593342C3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7717192"/>
        <c:axId val="797710304"/>
      </c:barChart>
      <c:catAx>
        <c:axId val="797717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7710304"/>
        <c:crosses val="autoZero"/>
        <c:auto val="1"/>
        <c:lblAlgn val="ctr"/>
        <c:lblOffset val="100"/>
        <c:noMultiLvlLbl val="0"/>
      </c:catAx>
      <c:valAx>
        <c:axId val="797710304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7717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alpha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5 - Industrial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Cultures!$M$108:$M$114</c:f>
              <c:strCache>
                <c:ptCount val="7"/>
                <c:pt idx="0">
                  <c:v>Bui</c:v>
                </c:pt>
                <c:pt idx="1">
                  <c:v>Agr</c:v>
                </c:pt>
                <c:pt idx="2">
                  <c:v>Exp</c:v>
                </c:pt>
                <c:pt idx="3">
                  <c:v>Mil</c:v>
                </c:pt>
                <c:pt idx="4">
                  <c:v>Aes</c:v>
                </c:pt>
                <c:pt idx="5">
                  <c:v>Mer</c:v>
                </c:pt>
                <c:pt idx="6">
                  <c:v>Sci</c:v>
                </c:pt>
              </c:strCache>
            </c:strRef>
          </c:cat>
          <c:val>
            <c:numRef>
              <c:f>Cultures!$L$108:$L$114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F-4DCF-B65A-E138E58DAC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40158520"/>
        <c:axId val="540156552"/>
      </c:barChart>
      <c:catAx>
        <c:axId val="54015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0156552"/>
        <c:crosses val="autoZero"/>
        <c:auto val="1"/>
        <c:lblAlgn val="ctr"/>
        <c:lblOffset val="100"/>
        <c:noMultiLvlLbl val="0"/>
      </c:catAx>
      <c:valAx>
        <c:axId val="540156552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0158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alpha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bg1"/>
                </a:solidFill>
              </a:rPr>
              <a:t>6 - Contemporary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Cultures!$M$118:$M$124</c:f>
              <c:strCache>
                <c:ptCount val="7"/>
                <c:pt idx="0">
                  <c:v>Bui</c:v>
                </c:pt>
                <c:pt idx="1">
                  <c:v>Agr</c:v>
                </c:pt>
                <c:pt idx="2">
                  <c:v>Exp</c:v>
                </c:pt>
                <c:pt idx="3">
                  <c:v>Mil</c:v>
                </c:pt>
                <c:pt idx="4">
                  <c:v>Aes</c:v>
                </c:pt>
                <c:pt idx="5">
                  <c:v>Mer</c:v>
                </c:pt>
                <c:pt idx="6">
                  <c:v>Sci</c:v>
                </c:pt>
              </c:strCache>
            </c:strRef>
          </c:cat>
          <c:val>
            <c:numRef>
              <c:f>Cultures!$L$118:$L$124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  <c:pt idx="5">
                  <c:v>1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0-432D-AF4C-4C20037EC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4183144"/>
        <c:axId val="804347912"/>
      </c:barChart>
      <c:catAx>
        <c:axId val="804183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347912"/>
        <c:crosses val="autoZero"/>
        <c:auto val="1"/>
        <c:lblAlgn val="ctr"/>
        <c:lblOffset val="100"/>
        <c:noMultiLvlLbl val="0"/>
      </c:catAx>
      <c:valAx>
        <c:axId val="804347912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183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alpha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Total for</a:t>
            </a:r>
            <a:r>
              <a:rPr lang="fr-FR" baseline="0"/>
              <a:t> all eras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42DD-4496-A316-44E6AE55B336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8-42DD-4496-A316-44E6AE55B336}"/>
              </c:ext>
            </c:extLst>
          </c:dPt>
          <c:dPt>
            <c:idx val="2"/>
            <c:bubble3D val="0"/>
            <c:spPr>
              <a:solidFill>
                <a:srgbClr val="9966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7FCB-42E6-A134-8ACF30EFE75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4-42DD-4496-A316-44E6AE55B336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42DD-4496-A316-44E6AE55B336}"/>
              </c:ext>
            </c:extLst>
          </c:dPt>
          <c:dPt>
            <c:idx val="5"/>
            <c:bubble3D val="0"/>
            <c:spPr>
              <a:solidFill>
                <a:srgbClr val="FFFF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42DD-4496-A316-44E6AE55B336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42DD-4496-A316-44E6AE55B33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Cultures!$K$131:$K$137</c:f>
              <c:strCache>
                <c:ptCount val="7"/>
                <c:pt idx="0">
                  <c:v>Builder</c:v>
                </c:pt>
                <c:pt idx="1">
                  <c:v>Agrarian</c:v>
                </c:pt>
                <c:pt idx="2">
                  <c:v>Expansionist</c:v>
                </c:pt>
                <c:pt idx="3">
                  <c:v>Militarist</c:v>
                </c:pt>
                <c:pt idx="4">
                  <c:v>Aesthete</c:v>
                </c:pt>
                <c:pt idx="5">
                  <c:v>Merchant</c:v>
                </c:pt>
                <c:pt idx="6">
                  <c:v>Scientist</c:v>
                </c:pt>
              </c:strCache>
            </c:strRef>
          </c:cat>
          <c:val>
            <c:numRef>
              <c:f>Cultures!$L$131:$L$137</c:f>
              <c:numCache>
                <c:formatCode>General</c:formatCode>
                <c:ptCount val="7"/>
                <c:pt idx="0">
                  <c:v>21</c:v>
                </c:pt>
                <c:pt idx="1">
                  <c:v>10</c:v>
                </c:pt>
                <c:pt idx="2">
                  <c:v>21</c:v>
                </c:pt>
                <c:pt idx="3">
                  <c:v>11</c:v>
                </c:pt>
                <c:pt idx="4">
                  <c:v>29</c:v>
                </c:pt>
                <c:pt idx="5">
                  <c:v>10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D-4496-A316-44E6AE55B33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/>
              <a:t>Total for all eras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Cultures!$K$131:$K$137</c:f>
              <c:strCache>
                <c:ptCount val="7"/>
                <c:pt idx="0">
                  <c:v>Builder</c:v>
                </c:pt>
                <c:pt idx="1">
                  <c:v>Agrarian</c:v>
                </c:pt>
                <c:pt idx="2">
                  <c:v>Expansionist</c:v>
                </c:pt>
                <c:pt idx="3">
                  <c:v>Militarist</c:v>
                </c:pt>
                <c:pt idx="4">
                  <c:v>Aesthete</c:v>
                </c:pt>
                <c:pt idx="5">
                  <c:v>Merchant</c:v>
                </c:pt>
                <c:pt idx="6">
                  <c:v>Scientist</c:v>
                </c:pt>
              </c:strCache>
            </c:strRef>
          </c:cat>
          <c:val>
            <c:numRef>
              <c:f>Cultures!$L$131:$L$137</c:f>
              <c:numCache>
                <c:formatCode>General</c:formatCode>
                <c:ptCount val="7"/>
                <c:pt idx="0">
                  <c:v>21</c:v>
                </c:pt>
                <c:pt idx="1">
                  <c:v>10</c:v>
                </c:pt>
                <c:pt idx="2">
                  <c:v>21</c:v>
                </c:pt>
                <c:pt idx="3">
                  <c:v>11</c:v>
                </c:pt>
                <c:pt idx="4">
                  <c:v>29</c:v>
                </c:pt>
                <c:pt idx="5">
                  <c:v>10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7-4D2B-AFFF-E2941A6EB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8872768"/>
        <c:axId val="678864896"/>
      </c:barChart>
      <c:catAx>
        <c:axId val="67887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8864896"/>
        <c:crosses val="autoZero"/>
        <c:auto val="1"/>
        <c:lblAlgn val="ctr"/>
        <c:lblOffset val="100"/>
        <c:noMultiLvlLbl val="0"/>
      </c:catAx>
      <c:valAx>
        <c:axId val="67886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887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9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Choice by JJ</a:t>
            </a:r>
          </a:p>
        </c:rich>
      </c:tx>
      <c:layout>
        <c:manualLayout>
          <c:xMode val="edge"/>
          <c:yMode val="edge"/>
          <c:x val="0.75439784535345222"/>
          <c:y val="5.4137664346481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3117299992170534"/>
          <c:y val="4.1376643464810528E-2"/>
          <c:w val="0.42596687187042559"/>
          <c:h val="0.9160866202629544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F395-4527-944F-227ACD6595A3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8-F395-4527-944F-227ACD6595A3}"/>
              </c:ext>
            </c:extLst>
          </c:dPt>
          <c:dPt>
            <c:idx val="2"/>
            <c:bubble3D val="0"/>
            <c:explosion val="2"/>
            <c:spPr>
              <a:solidFill>
                <a:srgbClr val="7030A0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F395-4527-944F-227ACD6595A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4-F395-4527-944F-227ACD6595A3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F395-4527-944F-227ACD6595A3}"/>
              </c:ext>
            </c:extLst>
          </c:dPt>
          <c:dPt>
            <c:idx val="5"/>
            <c:bubble3D val="0"/>
            <c:spPr>
              <a:solidFill>
                <a:srgbClr val="FFFF99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F395-4527-944F-227ACD6595A3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F395-4527-944F-227ACD659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Build!$BR$31:$BR$37</c:f>
              <c:strCache>
                <c:ptCount val="7"/>
                <c:pt idx="0">
                  <c:v>Builder</c:v>
                </c:pt>
                <c:pt idx="1">
                  <c:v>Agrarian</c:v>
                </c:pt>
                <c:pt idx="2">
                  <c:v>Expansionist</c:v>
                </c:pt>
                <c:pt idx="3">
                  <c:v>Militarist</c:v>
                </c:pt>
                <c:pt idx="4">
                  <c:v>Aesthete</c:v>
                </c:pt>
                <c:pt idx="5">
                  <c:v>Merchant</c:v>
                </c:pt>
                <c:pt idx="6">
                  <c:v>Scientist</c:v>
                </c:pt>
              </c:strCache>
            </c:strRef>
          </c:cat>
          <c:val>
            <c:numRef>
              <c:f>Build!$BT$31:$BT$37</c:f>
              <c:numCache>
                <c:formatCode>General</c:formatCode>
                <c:ptCount val="7"/>
                <c:pt idx="0">
                  <c:v>21</c:v>
                </c:pt>
                <c:pt idx="1">
                  <c:v>10</c:v>
                </c:pt>
                <c:pt idx="2">
                  <c:v>21</c:v>
                </c:pt>
                <c:pt idx="3">
                  <c:v>11</c:v>
                </c:pt>
                <c:pt idx="4">
                  <c:v>29</c:v>
                </c:pt>
                <c:pt idx="5">
                  <c:v>10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5-4527-944F-227ACD6595A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image" Target="../media/image2.svg"/><Relationship Id="rId5" Type="http://schemas.openxmlformats.org/officeDocument/2006/relationships/chart" Target="../charts/chart7.xml"/><Relationship Id="rId10" Type="http://schemas.openxmlformats.org/officeDocument/2006/relationships/image" Target="../media/image1.png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27</xdr:row>
      <xdr:rowOff>152400</xdr:rowOff>
    </xdr:from>
    <xdr:to>
      <xdr:col>11</xdr:col>
      <xdr:colOff>1904</xdr:colOff>
      <xdr:row>45</xdr:row>
      <xdr:rowOff>55245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A9E1C8D2-944D-4702-9FF3-01C8133DC8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208596</xdr:colOff>
      <xdr:row>47</xdr:row>
      <xdr:rowOff>141922</xdr:rowOff>
    </xdr:from>
    <xdr:to>
      <xdr:col>11</xdr:col>
      <xdr:colOff>57150</xdr:colOff>
      <xdr:row>64</xdr:row>
      <xdr:rowOff>135255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0C71A73-9F74-4D43-A631-47B80D0CD6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169545</xdr:colOff>
      <xdr:row>0</xdr:row>
      <xdr:rowOff>60960</xdr:rowOff>
    </xdr:from>
    <xdr:to>
      <xdr:col>12</xdr:col>
      <xdr:colOff>762000</xdr:colOff>
      <xdr:row>64</xdr:row>
      <xdr:rowOff>30480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2C633169-BCC3-485E-B68B-7C61F1619C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66</xdr:row>
      <xdr:rowOff>144777</xdr:rowOff>
    </xdr:from>
    <xdr:to>
      <xdr:col>16</xdr:col>
      <xdr:colOff>1104900</xdr:colOff>
      <xdr:row>76</xdr:row>
      <xdr:rowOff>76200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6D00C811-B7C9-42CB-BA4B-896BEF1A9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19050</xdr:colOff>
      <xdr:row>76</xdr:row>
      <xdr:rowOff>150492</xdr:rowOff>
    </xdr:from>
    <xdr:to>
      <xdr:col>17</xdr:col>
      <xdr:colOff>16650</xdr:colOff>
      <xdr:row>86</xdr:row>
      <xdr:rowOff>114299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53D01EF6-E5CB-4A0E-B79B-4AE045713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86</xdr:row>
      <xdr:rowOff>131444</xdr:rowOff>
    </xdr:from>
    <xdr:to>
      <xdr:col>17</xdr:col>
      <xdr:colOff>10740</xdr:colOff>
      <xdr:row>96</xdr:row>
      <xdr:rowOff>114300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68DBCD8C-0EF8-4750-96C6-1A258C634C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1905</xdr:colOff>
      <xdr:row>96</xdr:row>
      <xdr:rowOff>153352</xdr:rowOff>
    </xdr:from>
    <xdr:to>
      <xdr:col>17</xdr:col>
      <xdr:colOff>11430</xdr:colOff>
      <xdr:row>106</xdr:row>
      <xdr:rowOff>91440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4C96DBCE-7224-40AD-85F5-C2B479501C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874395</xdr:colOff>
      <xdr:row>106</xdr:row>
      <xdr:rowOff>143826</xdr:rowOff>
    </xdr:from>
    <xdr:to>
      <xdr:col>17</xdr:col>
      <xdr:colOff>9525</xdr:colOff>
      <xdr:row>116</xdr:row>
      <xdr:rowOff>91440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79F2D074-F4C4-4F2B-9BC9-3510761962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874395</xdr:colOff>
      <xdr:row>116</xdr:row>
      <xdr:rowOff>162877</xdr:rowOff>
    </xdr:from>
    <xdr:to>
      <xdr:col>17</xdr:col>
      <xdr:colOff>9525</xdr:colOff>
      <xdr:row>126</xdr:row>
      <xdr:rowOff>85725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754CCC6D-492F-4847-A65D-8F37D2E1B6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962025</xdr:colOff>
      <xdr:row>4</xdr:row>
      <xdr:rowOff>27622</xdr:rowOff>
    </xdr:from>
    <xdr:to>
      <xdr:col>22</xdr:col>
      <xdr:colOff>129520</xdr:colOff>
      <xdr:row>25</xdr:row>
      <xdr:rowOff>91942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A70821F-0727-4073-9A6A-01D55C0EB56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638175</xdr:colOff>
      <xdr:row>126</xdr:row>
      <xdr:rowOff>113347</xdr:rowOff>
    </xdr:from>
    <xdr:to>
      <xdr:col>22</xdr:col>
      <xdr:colOff>257175</xdr:colOff>
      <xdr:row>142</xdr:row>
      <xdr:rowOff>113347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DF3862C5-C351-4236-9CE1-E3B0254194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179070</xdr:colOff>
      <xdr:row>113</xdr:row>
      <xdr:rowOff>114463</xdr:rowOff>
    </xdr:from>
    <xdr:to>
      <xdr:col>16</xdr:col>
      <xdr:colOff>445770</xdr:colOff>
      <xdr:row>115</xdr:row>
      <xdr:rowOff>41909</xdr:rowOff>
    </xdr:to>
    <xdr:pic>
      <xdr:nvPicPr>
        <xdr:cNvPr id="6" name="Graphique 5" descr="Fermer avec un remplissage uni">
          <a:extLst>
            <a:ext uri="{FF2B5EF4-FFF2-40B4-BE49-F238E27FC236}">
              <a16:creationId xmlns:a16="http://schemas.microsoft.com/office/drawing/2014/main" id="{85D07D73-6CE9-4B83-92AB-A3B68A570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18781395" y="19640713"/>
          <a:ext cx="266700" cy="270346"/>
        </a:xfrm>
        <a:prstGeom prst="rect">
          <a:avLst/>
        </a:prstGeom>
      </xdr:spPr>
    </xdr:pic>
    <xdr:clientData/>
  </xdr:twoCellAnchor>
  <xdr:twoCellAnchor editAs="oneCell">
    <xdr:from>
      <xdr:col>15</xdr:col>
      <xdr:colOff>300990</xdr:colOff>
      <xdr:row>123</xdr:row>
      <xdr:rowOff>59218</xdr:rowOff>
    </xdr:from>
    <xdr:to>
      <xdr:col>15</xdr:col>
      <xdr:colOff>571500</xdr:colOff>
      <xdr:row>125</xdr:row>
      <xdr:rowOff>1904</xdr:rowOff>
    </xdr:to>
    <xdr:pic>
      <xdr:nvPicPr>
        <xdr:cNvPr id="14" name="Graphique 13" descr="Fermer avec un remplissage uni">
          <a:extLst>
            <a:ext uri="{FF2B5EF4-FFF2-40B4-BE49-F238E27FC236}">
              <a16:creationId xmlns:a16="http://schemas.microsoft.com/office/drawing/2014/main" id="{CEB970D5-3CB9-4819-B6DF-C659FB8CD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17912715" y="21299968"/>
          <a:ext cx="270510" cy="2855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416240</xdr:colOff>
      <xdr:row>28</xdr:row>
      <xdr:rowOff>129540</xdr:rowOff>
    </xdr:from>
    <xdr:to>
      <xdr:col>29</xdr:col>
      <xdr:colOff>781321</xdr:colOff>
      <xdr:row>48</xdr:row>
      <xdr:rowOff>160020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EB564E2-0801-4BA0-AD4E-1EF43BA52F9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82</xdr:col>
      <xdr:colOff>38105</xdr:colOff>
      <xdr:row>15</xdr:row>
      <xdr:rowOff>95250</xdr:rowOff>
    </xdr:from>
    <xdr:to>
      <xdr:col>83</xdr:col>
      <xdr:colOff>504826</xdr:colOff>
      <xdr:row>18</xdr:row>
      <xdr:rowOff>19050</xdr:rowOff>
    </xdr:to>
    <xdr:cxnSp macro="">
      <xdr:nvCxnSpPr>
        <xdr:cNvPr id="4" name="Connecteur : en arc 3">
          <a:extLst>
            <a:ext uri="{FF2B5EF4-FFF2-40B4-BE49-F238E27FC236}">
              <a16:creationId xmlns:a16="http://schemas.microsoft.com/office/drawing/2014/main" id="{6257672F-A3B3-478E-9C66-4D1F0D7C5B71}"/>
            </a:ext>
          </a:extLst>
        </xdr:cNvPr>
        <xdr:cNvCxnSpPr/>
      </xdr:nvCxnSpPr>
      <xdr:spPr>
        <a:xfrm rot="10800000" flipV="1">
          <a:off x="56769005" y="2543175"/>
          <a:ext cx="1019171" cy="43815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83</xdr:col>
      <xdr:colOff>19055</xdr:colOff>
      <xdr:row>18</xdr:row>
      <xdr:rowOff>19049</xdr:rowOff>
    </xdr:from>
    <xdr:to>
      <xdr:col>84</xdr:col>
      <xdr:colOff>276226</xdr:colOff>
      <xdr:row>25</xdr:row>
      <xdr:rowOff>99058</xdr:rowOff>
    </xdr:to>
    <xdr:cxnSp macro="">
      <xdr:nvCxnSpPr>
        <xdr:cNvPr id="10" name="Connecteur : en arc 9">
          <a:extLst>
            <a:ext uri="{FF2B5EF4-FFF2-40B4-BE49-F238E27FC236}">
              <a16:creationId xmlns:a16="http://schemas.microsoft.com/office/drawing/2014/main" id="{DC2608E3-BF51-477E-AEC8-980C3565DFBD}"/>
            </a:ext>
          </a:extLst>
        </xdr:cNvPr>
        <xdr:cNvCxnSpPr/>
      </xdr:nvCxnSpPr>
      <xdr:spPr>
        <a:xfrm rot="5400000">
          <a:off x="30935298" y="3230881"/>
          <a:ext cx="1280159" cy="781046"/>
        </a:xfrm>
        <a:prstGeom prst="curvedConnector3">
          <a:avLst>
            <a:gd name="adj1" fmla="val 107635"/>
          </a:avLst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15242</xdr:colOff>
      <xdr:row>18</xdr:row>
      <xdr:rowOff>28579</xdr:rowOff>
    </xdr:from>
    <xdr:to>
      <xdr:col>84</xdr:col>
      <xdr:colOff>590550</xdr:colOff>
      <xdr:row>34</xdr:row>
      <xdr:rowOff>133351</xdr:rowOff>
    </xdr:to>
    <xdr:cxnSp macro="">
      <xdr:nvCxnSpPr>
        <xdr:cNvPr id="13" name="Connecteur : en arc 12">
          <a:extLst>
            <a:ext uri="{FF2B5EF4-FFF2-40B4-BE49-F238E27FC236}">
              <a16:creationId xmlns:a16="http://schemas.microsoft.com/office/drawing/2014/main" id="{F69C81EA-42F2-479D-80C4-16580B0F5553}"/>
            </a:ext>
          </a:extLst>
        </xdr:cNvPr>
        <xdr:cNvCxnSpPr/>
      </xdr:nvCxnSpPr>
      <xdr:spPr>
        <a:xfrm rot="5400000">
          <a:off x="30030423" y="3589023"/>
          <a:ext cx="2847972" cy="1651633"/>
        </a:xfrm>
        <a:prstGeom prst="curvedConnector3">
          <a:avLst>
            <a:gd name="adj1" fmla="val 103213"/>
          </a:avLst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73</xdr:col>
      <xdr:colOff>47625</xdr:colOff>
      <xdr:row>43</xdr:row>
      <xdr:rowOff>91440</xdr:rowOff>
    </xdr:from>
    <xdr:to>
      <xdr:col>74</xdr:col>
      <xdr:colOff>358141</xdr:colOff>
      <xdr:row>44</xdr:row>
      <xdr:rowOff>9528</xdr:rowOff>
    </xdr:to>
    <xdr:cxnSp macro="">
      <xdr:nvCxnSpPr>
        <xdr:cNvPr id="20" name="Connecteur : en arc 19">
          <a:extLst>
            <a:ext uri="{FF2B5EF4-FFF2-40B4-BE49-F238E27FC236}">
              <a16:creationId xmlns:a16="http://schemas.microsoft.com/office/drawing/2014/main" id="{F9FDB13D-C0FD-4E63-8329-878CA6A8DA6A}"/>
            </a:ext>
          </a:extLst>
        </xdr:cNvPr>
        <xdr:cNvCxnSpPr/>
      </xdr:nvCxnSpPr>
      <xdr:spPr>
        <a:xfrm rot="10800000" flipV="1">
          <a:off x="49025175" y="7339965"/>
          <a:ext cx="691516" cy="8953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humankind.fandom.com/wiki/Uni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humankind.fandom.com/wiki/Cultur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teamcommunity.com/sharedfiles/filedetails/?id=258439979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E6AD-6A4D-4EF6-9BDC-DAC2D5ACC4B9}">
  <dimension ref="B1:W61"/>
  <sheetViews>
    <sheetView tabSelected="1" workbookViewId="0">
      <selection activeCell="J16" sqref="J16"/>
    </sheetView>
  </sheetViews>
  <sheetFormatPr baseColWidth="10" defaultColWidth="11.5546875" defaultRowHeight="13.2" x14ac:dyDescent="0.25"/>
  <cols>
    <col min="1" max="1" width="1.109375" customWidth="1"/>
    <col min="2" max="2" width="9.5546875" customWidth="1"/>
    <col min="3" max="3" width="16.44140625" customWidth="1"/>
    <col min="4" max="4" width="26" bestFit="1" customWidth="1"/>
    <col min="5" max="5" width="4" customWidth="1"/>
    <col min="6" max="6" width="14.33203125" customWidth="1"/>
    <col min="7" max="9" width="14.77734375" customWidth="1"/>
    <col min="10" max="10" width="15.33203125" bestFit="1" customWidth="1"/>
    <col min="11" max="11" width="14.77734375" customWidth="1"/>
    <col min="12" max="12" width="16.44140625" bestFit="1" customWidth="1"/>
    <col min="13" max="13" width="8.33203125" customWidth="1"/>
    <col min="14" max="14" width="6.33203125" customWidth="1"/>
    <col min="15" max="15" width="16.44140625" bestFit="1" customWidth="1"/>
    <col min="16" max="16" width="15.77734375" bestFit="1" customWidth="1"/>
    <col min="17" max="17" width="14.109375" bestFit="1" customWidth="1"/>
    <col min="18" max="18" width="18.88671875" bestFit="1" customWidth="1"/>
    <col min="19" max="19" width="11.33203125" bestFit="1" customWidth="1"/>
    <col min="20" max="20" width="16.21875" bestFit="1" customWidth="1"/>
    <col min="21" max="21" width="12.21875" bestFit="1" customWidth="1"/>
    <col min="22" max="22" width="10.88671875" bestFit="1" customWidth="1"/>
    <col min="23" max="23" width="4.88671875" bestFit="1" customWidth="1"/>
  </cols>
  <sheetData>
    <row r="1" spans="2:23" ht="7.8" customHeight="1" thickBot="1" x14ac:dyDescent="0.3"/>
    <row r="2" spans="2:23" ht="25.2" customHeight="1" thickBot="1" x14ac:dyDescent="0.45">
      <c r="B2" s="522" t="s">
        <v>730</v>
      </c>
      <c r="C2" s="523"/>
      <c r="D2" s="524"/>
      <c r="E2" s="465" t="s">
        <v>710</v>
      </c>
      <c r="F2" s="486" t="s">
        <v>725</v>
      </c>
      <c r="G2" s="485" t="s">
        <v>710</v>
      </c>
      <c r="H2" s="1"/>
      <c r="I2" s="1"/>
      <c r="J2" s="1"/>
      <c r="K2" s="1"/>
      <c r="L2" s="1"/>
      <c r="M2" s="1"/>
      <c r="O2" s="1"/>
      <c r="P2" s="515" t="s">
        <v>682</v>
      </c>
      <c r="Q2" s="516"/>
      <c r="R2" s="516"/>
      <c r="S2" s="516"/>
      <c r="T2" s="516"/>
      <c r="U2" s="516"/>
      <c r="V2" s="517"/>
      <c r="W2" s="1"/>
    </row>
    <row r="3" spans="2:23" ht="13.8" customHeight="1" thickBot="1" x14ac:dyDescent="0.3">
      <c r="B3" s="487" t="s">
        <v>710</v>
      </c>
      <c r="C3" s="53"/>
      <c r="D3" s="53"/>
      <c r="E3" s="53"/>
      <c r="J3" s="1"/>
      <c r="K3" s="1"/>
      <c r="L3" s="1"/>
      <c r="M3" s="1"/>
      <c r="O3" s="414" t="s">
        <v>684</v>
      </c>
      <c r="P3" s="415" t="s">
        <v>8</v>
      </c>
      <c r="Q3" s="415" t="s">
        <v>9</v>
      </c>
      <c r="R3" s="415" t="s">
        <v>10</v>
      </c>
      <c r="S3" s="415" t="s">
        <v>11</v>
      </c>
      <c r="T3" s="415" t="s">
        <v>538</v>
      </c>
      <c r="U3" s="415" t="s">
        <v>12</v>
      </c>
      <c r="V3" s="415" t="s">
        <v>13</v>
      </c>
      <c r="W3" s="416" t="s">
        <v>535</v>
      </c>
    </row>
    <row r="4" spans="2:23" ht="13.8" customHeight="1" thickBot="1" x14ac:dyDescent="0.3">
      <c r="B4" s="189" t="s">
        <v>528</v>
      </c>
      <c r="C4" s="190" t="s">
        <v>529</v>
      </c>
      <c r="D4" s="191" t="s">
        <v>530</v>
      </c>
      <c r="E4" s="53"/>
      <c r="O4" s="428" t="s">
        <v>1</v>
      </c>
      <c r="P4" s="417" t="str">
        <f>+Cultures!R30</f>
        <v>Ancient Egyptians</v>
      </c>
      <c r="Q4" s="417" t="s">
        <v>30</v>
      </c>
      <c r="R4" s="417" t="s">
        <v>21</v>
      </c>
      <c r="S4" s="417" t="s">
        <v>33</v>
      </c>
      <c r="T4" s="417" t="s">
        <v>44</v>
      </c>
      <c r="U4" s="417" t="s">
        <v>41</v>
      </c>
      <c r="V4" s="417" t="s">
        <v>24</v>
      </c>
      <c r="W4" s="429">
        <v>10</v>
      </c>
    </row>
    <row r="5" spans="2:23" ht="13.8" thickBot="1" x14ac:dyDescent="0.3">
      <c r="B5" s="192">
        <v>1</v>
      </c>
      <c r="C5" s="188">
        <v>44452</v>
      </c>
      <c r="D5" s="193" t="s">
        <v>531</v>
      </c>
      <c r="E5" s="53"/>
      <c r="F5" s="45" t="s">
        <v>0</v>
      </c>
      <c r="G5" s="46" t="s">
        <v>1</v>
      </c>
      <c r="H5" s="46" t="s">
        <v>2</v>
      </c>
      <c r="I5" s="46" t="s">
        <v>3</v>
      </c>
      <c r="J5" s="46" t="s">
        <v>4</v>
      </c>
      <c r="K5" s="46" t="s">
        <v>5</v>
      </c>
      <c r="L5" s="46" t="s">
        <v>6</v>
      </c>
      <c r="M5" s="47" t="s">
        <v>7</v>
      </c>
      <c r="O5" s="430"/>
      <c r="P5" s="418"/>
      <c r="Q5" s="418"/>
      <c r="R5" s="418"/>
      <c r="S5" s="418" t="s">
        <v>37</v>
      </c>
      <c r="T5" s="418" t="s">
        <v>52</v>
      </c>
      <c r="U5" s="418" t="s">
        <v>48</v>
      </c>
      <c r="V5" s="418"/>
      <c r="W5" s="431"/>
    </row>
    <row r="6" spans="2:23" x14ac:dyDescent="0.25">
      <c r="B6" s="192">
        <f>B5+1</f>
        <v>2</v>
      </c>
      <c r="C6" s="188">
        <v>44452</v>
      </c>
      <c r="D6" s="193" t="s">
        <v>533</v>
      </c>
      <c r="E6" s="53"/>
      <c r="F6" s="181" t="s">
        <v>8</v>
      </c>
      <c r="G6" s="54">
        <f>COUNTIFS(CultureListEras, G5, CultureListAffinities, F6)</f>
        <v>1</v>
      </c>
      <c r="H6" s="54">
        <f>COUNTIFS(CultureListEras, H5, CultureListAffinities, $F6)</f>
        <v>1</v>
      </c>
      <c r="I6" s="54">
        <f>COUNTIFS(CultureListEras, I5, CultureListAffinities, $F6)</f>
        <v>1</v>
      </c>
      <c r="J6" s="54">
        <f>COUNTIFS(CultureListEras, J5, CultureListAffinities, $F6)</f>
        <v>1</v>
      </c>
      <c r="K6" s="54">
        <f>COUNTIFS(CultureListEras, K5, CultureListAffinities, $F6)</f>
        <v>2</v>
      </c>
      <c r="L6" s="54">
        <f>COUNTIFS(CultureListEras, L5, CultureListAffinities, $F6)</f>
        <v>1</v>
      </c>
      <c r="M6" s="55">
        <f t="shared" ref="M6:M12" si="0">SUM(G6:L6)</f>
        <v>7</v>
      </c>
      <c r="O6" s="432" t="s">
        <v>2</v>
      </c>
      <c r="P6" s="419" t="s">
        <v>88</v>
      </c>
      <c r="Q6" s="419" t="s">
        <v>68</v>
      </c>
      <c r="R6" s="419" t="s">
        <v>56</v>
      </c>
      <c r="S6" s="419" t="s">
        <v>72</v>
      </c>
      <c r="T6" s="419" t="s">
        <v>84</v>
      </c>
      <c r="U6" s="419" t="s">
        <v>60</v>
      </c>
      <c r="V6" s="419" t="s">
        <v>76</v>
      </c>
      <c r="W6" s="433">
        <v>10</v>
      </c>
    </row>
    <row r="7" spans="2:23" ht="13.8" thickBot="1" x14ac:dyDescent="0.3">
      <c r="B7" s="192">
        <f t="shared" ref="B7:B13" si="1">B6+1</f>
        <v>3</v>
      </c>
      <c r="C7" s="188">
        <v>44452</v>
      </c>
      <c r="D7" s="193" t="s">
        <v>532</v>
      </c>
      <c r="E7" s="53"/>
      <c r="F7" s="181" t="s">
        <v>9</v>
      </c>
      <c r="G7" s="54">
        <f t="shared" ref="G7:L7" si="2">COUNTIFS(CultureListEras, G5, CultureListAffinities, $F7)</f>
        <v>1</v>
      </c>
      <c r="H7" s="54">
        <f t="shared" si="2"/>
        <v>1</v>
      </c>
      <c r="I7" s="54">
        <f t="shared" si="2"/>
        <v>1</v>
      </c>
      <c r="J7" s="54">
        <f t="shared" si="2"/>
        <v>1</v>
      </c>
      <c r="K7" s="54">
        <f t="shared" si="2"/>
        <v>1</v>
      </c>
      <c r="L7" s="54">
        <f t="shared" si="2"/>
        <v>2</v>
      </c>
      <c r="M7" s="55">
        <f t="shared" si="0"/>
        <v>7</v>
      </c>
      <c r="O7" s="432"/>
      <c r="P7" s="420"/>
      <c r="Q7" s="420"/>
      <c r="R7" s="420" t="s">
        <v>92</v>
      </c>
      <c r="S7" s="420" t="s">
        <v>80</v>
      </c>
      <c r="T7" s="420"/>
      <c r="U7" s="420" t="s">
        <v>64</v>
      </c>
      <c r="V7" s="420"/>
      <c r="W7" s="433"/>
    </row>
    <row r="8" spans="2:23" x14ac:dyDescent="0.25">
      <c r="B8" s="192">
        <f t="shared" si="1"/>
        <v>4</v>
      </c>
      <c r="C8" s="188">
        <v>44460</v>
      </c>
      <c r="D8" s="193" t="s">
        <v>687</v>
      </c>
      <c r="E8" s="53"/>
      <c r="F8" s="181" t="s">
        <v>10</v>
      </c>
      <c r="G8" s="54">
        <f t="shared" ref="G8:L8" si="3">COUNTIFS(CultureListEras, G5, CultureListAffinities, $F8)</f>
        <v>1</v>
      </c>
      <c r="H8" s="54">
        <f t="shared" si="3"/>
        <v>2</v>
      </c>
      <c r="I8" s="54">
        <f t="shared" si="3"/>
        <v>2</v>
      </c>
      <c r="J8" s="54">
        <f t="shared" si="3"/>
        <v>2</v>
      </c>
      <c r="K8" s="54">
        <f t="shared" si="3"/>
        <v>3</v>
      </c>
      <c r="L8" s="54">
        <f t="shared" si="3"/>
        <v>2</v>
      </c>
      <c r="M8" s="55">
        <f t="shared" si="0"/>
        <v>12</v>
      </c>
      <c r="O8" s="434" t="s">
        <v>3</v>
      </c>
      <c r="P8" s="422" t="s">
        <v>116</v>
      </c>
      <c r="Q8" s="422" t="s">
        <v>104</v>
      </c>
      <c r="R8" s="422" t="s">
        <v>124</v>
      </c>
      <c r="S8" s="422" t="s">
        <v>96</v>
      </c>
      <c r="T8" s="422" t="s">
        <v>108</v>
      </c>
      <c r="U8" s="422" t="s">
        <v>100</v>
      </c>
      <c r="V8" s="422" t="s">
        <v>132</v>
      </c>
      <c r="W8" s="435">
        <v>10</v>
      </c>
    </row>
    <row r="9" spans="2:23" ht="13.8" thickBot="1" x14ac:dyDescent="0.3">
      <c r="B9" s="192">
        <f t="shared" si="1"/>
        <v>5</v>
      </c>
      <c r="C9" s="188">
        <v>44474</v>
      </c>
      <c r="D9" s="194" t="s">
        <v>551</v>
      </c>
      <c r="E9" s="53"/>
      <c r="F9" s="181" t="s">
        <v>11</v>
      </c>
      <c r="G9" s="54">
        <f t="shared" ref="G9:L9" si="4">COUNTIFS(CultureListEras, G5, CultureListAffinities, $F9)</f>
        <v>2</v>
      </c>
      <c r="H9" s="54">
        <f t="shared" si="4"/>
        <v>2</v>
      </c>
      <c r="I9" s="54">
        <f t="shared" si="4"/>
        <v>2</v>
      </c>
      <c r="J9" s="54">
        <f t="shared" si="4"/>
        <v>1</v>
      </c>
      <c r="K9" s="54">
        <f t="shared" si="4"/>
        <v>2</v>
      </c>
      <c r="L9" s="54">
        <f t="shared" si="4"/>
        <v>0</v>
      </c>
      <c r="M9" s="55">
        <f t="shared" si="0"/>
        <v>9</v>
      </c>
      <c r="O9" s="436"/>
      <c r="P9" s="423"/>
      <c r="Q9" s="423"/>
      <c r="R9" s="423" t="s">
        <v>128</v>
      </c>
      <c r="S9" s="423" t="s">
        <v>120</v>
      </c>
      <c r="T9" s="423"/>
      <c r="U9" s="423" t="s">
        <v>112</v>
      </c>
      <c r="V9" s="423"/>
      <c r="W9" s="437"/>
    </row>
    <row r="10" spans="2:23" x14ac:dyDescent="0.25">
      <c r="B10" s="192">
        <f t="shared" si="1"/>
        <v>6</v>
      </c>
      <c r="C10" s="188">
        <v>44476</v>
      </c>
      <c r="D10" s="195" t="s">
        <v>556</v>
      </c>
      <c r="E10" s="53"/>
      <c r="F10" s="181" t="s">
        <v>538</v>
      </c>
      <c r="G10" s="54">
        <f t="shared" ref="G10:L10" si="5">COUNTIFS(CultureListEras, G5, CultureListAffinities, $F10)</f>
        <v>2</v>
      </c>
      <c r="H10" s="54">
        <f t="shared" si="5"/>
        <v>1</v>
      </c>
      <c r="I10" s="54">
        <f t="shared" si="5"/>
        <v>1</v>
      </c>
      <c r="J10" s="54">
        <f t="shared" si="5"/>
        <v>2</v>
      </c>
      <c r="K10" s="54">
        <f t="shared" si="5"/>
        <v>1</v>
      </c>
      <c r="L10" s="54">
        <f t="shared" si="5"/>
        <v>2</v>
      </c>
      <c r="M10" s="55">
        <f t="shared" si="0"/>
        <v>9</v>
      </c>
      <c r="O10" s="438" t="s">
        <v>4</v>
      </c>
      <c r="P10" s="421" t="s">
        <v>156</v>
      </c>
      <c r="Q10" s="421" t="s">
        <v>144</v>
      </c>
      <c r="R10" s="421" t="s">
        <v>160</v>
      </c>
      <c r="S10" s="421" t="s">
        <v>164</v>
      </c>
      <c r="T10" s="421" t="s">
        <v>140</v>
      </c>
      <c r="U10" s="421" t="s">
        <v>136</v>
      </c>
      <c r="V10" s="421" t="s">
        <v>148</v>
      </c>
      <c r="W10" s="439">
        <v>10</v>
      </c>
    </row>
    <row r="11" spans="2:23" ht="13.8" thickBot="1" x14ac:dyDescent="0.3">
      <c r="B11" s="196">
        <f>B10+1</f>
        <v>7</v>
      </c>
      <c r="C11" s="188">
        <v>44477</v>
      </c>
      <c r="D11" s="195" t="s">
        <v>688</v>
      </c>
      <c r="E11" s="53"/>
      <c r="F11" s="181" t="s">
        <v>12</v>
      </c>
      <c r="G11" s="54">
        <f t="shared" ref="G11:L11" si="6">COUNTIFS(CultureListEras, G5, CultureListAffinities, $F11)</f>
        <v>2</v>
      </c>
      <c r="H11" s="54">
        <f t="shared" si="6"/>
        <v>2</v>
      </c>
      <c r="I11" s="54">
        <f t="shared" si="6"/>
        <v>2</v>
      </c>
      <c r="J11" s="54">
        <f t="shared" si="6"/>
        <v>2</v>
      </c>
      <c r="K11" s="54">
        <f t="shared" si="6"/>
        <v>0</v>
      </c>
      <c r="L11" s="54">
        <f t="shared" si="6"/>
        <v>1</v>
      </c>
      <c r="M11" s="55">
        <f t="shared" si="0"/>
        <v>9</v>
      </c>
      <c r="O11" s="438"/>
      <c r="P11" s="424"/>
      <c r="Q11" s="424"/>
      <c r="R11" s="424" t="s">
        <v>168</v>
      </c>
      <c r="S11" s="424"/>
      <c r="T11" s="424" t="s">
        <v>152</v>
      </c>
      <c r="U11" s="424" t="s">
        <v>172</v>
      </c>
      <c r="V11" s="424"/>
      <c r="W11" s="439"/>
    </row>
    <row r="12" spans="2:23" x14ac:dyDescent="0.25">
      <c r="B12" s="192">
        <f t="shared" si="1"/>
        <v>8</v>
      </c>
      <c r="C12" s="188">
        <v>44481</v>
      </c>
      <c r="D12" s="195" t="s">
        <v>689</v>
      </c>
      <c r="E12" s="53"/>
      <c r="F12" s="181" t="s">
        <v>13</v>
      </c>
      <c r="G12" s="54">
        <f t="shared" ref="G12:L12" si="7">COUNTIFS(CultureListEras, G5, CultureListAffinities, $F12)</f>
        <v>1</v>
      </c>
      <c r="H12" s="54">
        <f t="shared" si="7"/>
        <v>1</v>
      </c>
      <c r="I12" s="54">
        <f t="shared" si="7"/>
        <v>1</v>
      </c>
      <c r="J12" s="54">
        <f t="shared" si="7"/>
        <v>1</v>
      </c>
      <c r="K12" s="54">
        <f t="shared" si="7"/>
        <v>1</v>
      </c>
      <c r="L12" s="54">
        <f t="shared" si="7"/>
        <v>2</v>
      </c>
      <c r="M12" s="55">
        <f t="shared" si="0"/>
        <v>7</v>
      </c>
      <c r="O12" s="440" t="s">
        <v>5</v>
      </c>
      <c r="P12" s="426" t="s">
        <v>200</v>
      </c>
      <c r="Q12" s="426" t="s">
        <v>196</v>
      </c>
      <c r="R12" s="426" t="s">
        <v>180</v>
      </c>
      <c r="S12" s="426" t="s">
        <v>188</v>
      </c>
      <c r="T12" s="426" t="s">
        <v>176</v>
      </c>
      <c r="U12" s="426"/>
      <c r="V12" s="426" t="s">
        <v>184</v>
      </c>
      <c r="W12" s="441">
        <v>10</v>
      </c>
    </row>
    <row r="13" spans="2:23" ht="13.8" thickBot="1" x14ac:dyDescent="0.3">
      <c r="B13" s="192">
        <f t="shared" si="1"/>
        <v>9</v>
      </c>
      <c r="C13" s="188">
        <v>44487</v>
      </c>
      <c r="D13" s="195" t="s">
        <v>625</v>
      </c>
      <c r="F13" s="56" t="s">
        <v>535</v>
      </c>
      <c r="G13" s="57">
        <f>SUM(G6:G12)</f>
        <v>10</v>
      </c>
      <c r="H13" s="57">
        <f t="shared" ref="H13:M13" si="8">SUM(H6:H12)</f>
        <v>10</v>
      </c>
      <c r="I13" s="57">
        <f t="shared" si="8"/>
        <v>10</v>
      </c>
      <c r="J13" s="57">
        <f t="shared" si="8"/>
        <v>10</v>
      </c>
      <c r="K13" s="57">
        <f t="shared" si="8"/>
        <v>10</v>
      </c>
      <c r="L13" s="57">
        <f t="shared" si="8"/>
        <v>10</v>
      </c>
      <c r="M13" s="58">
        <f t="shared" si="8"/>
        <v>60</v>
      </c>
      <c r="O13" s="442"/>
      <c r="P13" s="404" t="s">
        <v>208</v>
      </c>
      <c r="Q13" s="404"/>
      <c r="R13" s="404" t="s">
        <v>192</v>
      </c>
      <c r="S13" s="404" t="s">
        <v>212</v>
      </c>
      <c r="T13" s="404"/>
      <c r="U13" s="404"/>
      <c r="V13" s="404"/>
      <c r="W13" s="443"/>
    </row>
    <row r="14" spans="2:23" ht="13.8" thickBot="1" x14ac:dyDescent="0.3">
      <c r="B14" s="196">
        <f>B13+1</f>
        <v>10</v>
      </c>
      <c r="C14" s="188">
        <v>44513</v>
      </c>
      <c r="D14" s="195" t="s">
        <v>658</v>
      </c>
      <c r="O14" s="444"/>
      <c r="P14" s="427"/>
      <c r="Q14" s="427"/>
      <c r="R14" s="427" t="s">
        <v>204</v>
      </c>
      <c r="S14" s="427"/>
      <c r="T14" s="427"/>
      <c r="U14" s="427"/>
      <c r="V14" s="427"/>
      <c r="W14" s="445"/>
    </row>
    <row r="15" spans="2:23" x14ac:dyDescent="0.25">
      <c r="B15" s="196">
        <f>B14+1</f>
        <v>11</v>
      </c>
      <c r="C15" s="188">
        <v>44520</v>
      </c>
      <c r="D15" s="195" t="s">
        <v>676</v>
      </c>
      <c r="O15" s="518" t="s">
        <v>6</v>
      </c>
      <c r="P15" s="425" t="s">
        <v>219</v>
      </c>
      <c r="Q15" s="425" t="s">
        <v>223</v>
      </c>
      <c r="R15" s="425" t="s">
        <v>216</v>
      </c>
      <c r="S15" s="425"/>
      <c r="T15" s="425" t="s">
        <v>231</v>
      </c>
      <c r="U15" s="425" t="s">
        <v>227</v>
      </c>
      <c r="V15" s="425" t="s">
        <v>239</v>
      </c>
      <c r="W15" s="520">
        <v>10</v>
      </c>
    </row>
    <row r="16" spans="2:23" x14ac:dyDescent="0.25">
      <c r="B16" s="196">
        <f>B15+1</f>
        <v>12</v>
      </c>
      <c r="C16" s="188">
        <v>44527</v>
      </c>
      <c r="D16" s="195" t="s">
        <v>683</v>
      </c>
      <c r="O16" s="519"/>
      <c r="P16" s="405"/>
      <c r="Q16" s="405" t="s">
        <v>250</v>
      </c>
      <c r="R16" s="405" t="s">
        <v>242</v>
      </c>
      <c r="S16" s="405"/>
      <c r="T16" s="405" t="s">
        <v>235</v>
      </c>
      <c r="U16" s="405"/>
      <c r="V16" s="405" t="s">
        <v>246</v>
      </c>
      <c r="W16" s="521"/>
    </row>
    <row r="17" spans="2:23" ht="13.8" thickBot="1" x14ac:dyDescent="0.3">
      <c r="B17" s="196">
        <f>B16+1</f>
        <v>13</v>
      </c>
      <c r="C17" s="188">
        <v>44528</v>
      </c>
      <c r="D17" s="195" t="s">
        <v>690</v>
      </c>
      <c r="O17" s="401" t="s">
        <v>535</v>
      </c>
      <c r="P17" s="402">
        <v>7</v>
      </c>
      <c r="Q17" s="402">
        <v>7</v>
      </c>
      <c r="R17" s="402">
        <v>12</v>
      </c>
      <c r="S17" s="402">
        <v>9</v>
      </c>
      <c r="T17" s="402">
        <v>9</v>
      </c>
      <c r="U17" s="402">
        <v>9</v>
      </c>
      <c r="V17" s="402">
        <v>7</v>
      </c>
      <c r="W17" s="403">
        <v>60</v>
      </c>
    </row>
    <row r="18" spans="2:23" ht="13.8" thickBot="1" x14ac:dyDescent="0.3">
      <c r="B18" s="196">
        <f>B17+1</f>
        <v>14</v>
      </c>
      <c r="C18" s="188">
        <v>44535</v>
      </c>
      <c r="D18" s="195" t="s">
        <v>732</v>
      </c>
    </row>
    <row r="19" spans="2:23" x14ac:dyDescent="0.25">
      <c r="F19" s="121" t="s">
        <v>0</v>
      </c>
      <c r="G19" s="381" t="s">
        <v>547</v>
      </c>
      <c r="H19" s="208"/>
      <c r="I19" s="208"/>
      <c r="J19" s="208"/>
      <c r="K19" s="208"/>
      <c r="L19" s="208"/>
      <c r="M19" s="208"/>
      <c r="N19" s="209"/>
    </row>
    <row r="20" spans="2:23" x14ac:dyDescent="0.25">
      <c r="F20" s="198" t="s">
        <v>8</v>
      </c>
      <c r="G20" s="199" t="s">
        <v>540</v>
      </c>
      <c r="H20" s="97"/>
      <c r="I20" s="97"/>
      <c r="J20" s="97"/>
      <c r="K20" s="97"/>
      <c r="L20" s="97"/>
      <c r="M20" s="97"/>
      <c r="N20" s="96"/>
    </row>
    <row r="21" spans="2:23" ht="13.8" thickBot="1" x14ac:dyDescent="0.3">
      <c r="F21" s="198" t="s">
        <v>9</v>
      </c>
      <c r="G21" s="199" t="s">
        <v>541</v>
      </c>
      <c r="H21" s="97"/>
      <c r="I21" s="97"/>
      <c r="J21" s="97"/>
      <c r="K21" s="97"/>
      <c r="L21" s="97"/>
      <c r="M21" s="97"/>
      <c r="N21" s="96"/>
    </row>
    <row r="22" spans="2:23" x14ac:dyDescent="0.25">
      <c r="B22" s="406" t="s">
        <v>654</v>
      </c>
      <c r="C22" s="450" t="s">
        <v>529</v>
      </c>
      <c r="D22" s="451" t="s">
        <v>685</v>
      </c>
      <c r="F22" s="198" t="s">
        <v>10</v>
      </c>
      <c r="G22" s="199" t="s">
        <v>542</v>
      </c>
      <c r="H22" s="97"/>
      <c r="I22" s="97"/>
      <c r="J22" s="97"/>
      <c r="K22" s="97"/>
      <c r="L22" s="97"/>
      <c r="M22" s="97"/>
      <c r="N22" s="96"/>
    </row>
    <row r="23" spans="2:23" x14ac:dyDescent="0.25">
      <c r="B23" s="446" t="s">
        <v>642</v>
      </c>
      <c r="C23" s="344"/>
      <c r="D23" s="194"/>
      <c r="F23" s="198" t="s">
        <v>11</v>
      </c>
      <c r="G23" s="79" t="s">
        <v>543</v>
      </c>
      <c r="H23" s="97"/>
      <c r="I23" s="97"/>
      <c r="J23" s="97"/>
      <c r="K23" s="97"/>
      <c r="L23" s="97"/>
      <c r="M23" s="97"/>
      <c r="N23" s="96"/>
    </row>
    <row r="24" spans="2:23" x14ac:dyDescent="0.25">
      <c r="B24" s="446" t="s">
        <v>643</v>
      </c>
      <c r="C24" s="344"/>
      <c r="D24" s="194"/>
      <c r="F24" s="198" t="s">
        <v>538</v>
      </c>
      <c r="G24" s="79" t="s">
        <v>544</v>
      </c>
      <c r="H24" s="97"/>
      <c r="I24" s="97"/>
      <c r="J24" s="97"/>
      <c r="K24" s="97"/>
      <c r="L24" s="97"/>
      <c r="M24" s="97"/>
      <c r="N24" s="96"/>
    </row>
    <row r="25" spans="2:23" x14ac:dyDescent="0.25">
      <c r="B25" s="446" t="s">
        <v>644</v>
      </c>
      <c r="C25" s="344"/>
      <c r="D25" s="194"/>
      <c r="F25" s="198" t="s">
        <v>12</v>
      </c>
      <c r="G25" s="79" t="s">
        <v>545</v>
      </c>
      <c r="H25" s="97"/>
      <c r="I25" s="97"/>
      <c r="J25" s="97"/>
      <c r="K25" s="97"/>
      <c r="L25" s="97"/>
      <c r="M25" s="97"/>
      <c r="N25" s="96"/>
    </row>
    <row r="26" spans="2:23" ht="13.8" thickBot="1" x14ac:dyDescent="0.3">
      <c r="B26" s="446" t="s">
        <v>645</v>
      </c>
      <c r="C26" s="344"/>
      <c r="D26" s="194"/>
      <c r="F26" s="200" t="s">
        <v>13</v>
      </c>
      <c r="G26" s="201" t="s">
        <v>539</v>
      </c>
      <c r="H26" s="108"/>
      <c r="I26" s="108"/>
      <c r="J26" s="108"/>
      <c r="K26" s="108"/>
      <c r="L26" s="108"/>
      <c r="M26" s="108"/>
      <c r="N26" s="202"/>
    </row>
    <row r="27" spans="2:23" x14ac:dyDescent="0.25">
      <c r="B27" s="446" t="s">
        <v>653</v>
      </c>
      <c r="C27" s="448">
        <v>44503</v>
      </c>
      <c r="D27" s="195" t="s">
        <v>652</v>
      </c>
    </row>
    <row r="28" spans="2:23" ht="13.8" thickBot="1" x14ac:dyDescent="0.3">
      <c r="B28" s="447" t="s">
        <v>671</v>
      </c>
      <c r="C28" s="449">
        <v>44517</v>
      </c>
      <c r="D28" s="197" t="s">
        <v>672</v>
      </c>
    </row>
    <row r="29" spans="2:23" ht="13.8" thickBot="1" x14ac:dyDescent="0.3"/>
    <row r="30" spans="2:23" ht="13.8" thickBot="1" x14ac:dyDescent="0.3">
      <c r="Q30" s="489"/>
    </row>
    <row r="31" spans="2:23" x14ac:dyDescent="0.25">
      <c r="B31" s="525" t="s">
        <v>568</v>
      </c>
      <c r="C31" s="526"/>
    </row>
    <row r="32" spans="2:23" x14ac:dyDescent="0.25">
      <c r="B32" s="243">
        <v>6</v>
      </c>
      <c r="C32" s="245" t="s">
        <v>567</v>
      </c>
    </row>
    <row r="33" spans="2:12" x14ac:dyDescent="0.25">
      <c r="B33" s="243">
        <v>10</v>
      </c>
      <c r="C33" s="245" t="s">
        <v>716</v>
      </c>
    </row>
    <row r="34" spans="2:12" x14ac:dyDescent="0.25">
      <c r="B34" s="243">
        <f>COUNTA((Cultures!B4:B63))</f>
        <v>60</v>
      </c>
      <c r="C34" s="245" t="s">
        <v>731</v>
      </c>
    </row>
    <row r="35" spans="2:12" ht="13.8" thickBot="1" x14ac:dyDescent="0.3">
      <c r="B35" s="244">
        <v>6</v>
      </c>
      <c r="C35" s="246" t="s">
        <v>715</v>
      </c>
    </row>
    <row r="36" spans="2:12" ht="13.8" thickBot="1" x14ac:dyDescent="0.3"/>
    <row r="37" spans="2:12" x14ac:dyDescent="0.25">
      <c r="B37" s="513" t="s">
        <v>537</v>
      </c>
      <c r="C37" s="514"/>
      <c r="L37" s="221" t="s">
        <v>6</v>
      </c>
    </row>
    <row r="38" spans="2:12" ht="13.8" thickBot="1" x14ac:dyDescent="0.3">
      <c r="B38" s="244">
        <f>Build!BT39</f>
        <v>21</v>
      </c>
      <c r="C38" s="463" t="s">
        <v>708</v>
      </c>
      <c r="L38" s="220" t="s">
        <v>5</v>
      </c>
    </row>
    <row r="39" spans="2:12" x14ac:dyDescent="0.25">
      <c r="L39" s="219" t="s">
        <v>4</v>
      </c>
    </row>
    <row r="40" spans="2:12" ht="13.8" thickBot="1" x14ac:dyDescent="0.3">
      <c r="L40" s="218" t="s">
        <v>3</v>
      </c>
    </row>
    <row r="41" spans="2:12" x14ac:dyDescent="0.25">
      <c r="B41" s="461" t="s">
        <v>692</v>
      </c>
      <c r="C41" s="109"/>
      <c r="D41" s="110"/>
      <c r="L41" s="217" t="s">
        <v>2</v>
      </c>
    </row>
    <row r="42" spans="2:12" ht="13.8" thickBot="1" x14ac:dyDescent="0.3">
      <c r="B42" s="455" t="s">
        <v>695</v>
      </c>
      <c r="C42" s="199" t="s">
        <v>723</v>
      </c>
      <c r="D42" s="96"/>
      <c r="L42" s="216" t="s">
        <v>1</v>
      </c>
    </row>
    <row r="43" spans="2:12" x14ac:dyDescent="0.25">
      <c r="B43" s="455" t="s">
        <v>697</v>
      </c>
      <c r="C43" s="79" t="s">
        <v>693</v>
      </c>
      <c r="D43" s="96"/>
      <c r="F43" s="110"/>
    </row>
    <row r="44" spans="2:12" x14ac:dyDescent="0.25">
      <c r="B44" s="455" t="s">
        <v>696</v>
      </c>
      <c r="C44" s="199" t="s">
        <v>699</v>
      </c>
      <c r="D44" s="96"/>
      <c r="F44" s="96"/>
    </row>
    <row r="45" spans="2:12" x14ac:dyDescent="0.25">
      <c r="B45" s="455" t="s">
        <v>698</v>
      </c>
      <c r="C45" s="79" t="s">
        <v>694</v>
      </c>
      <c r="D45" s="96"/>
      <c r="F45" s="96"/>
    </row>
    <row r="46" spans="2:12" ht="13.8" thickBot="1" x14ac:dyDescent="0.3">
      <c r="B46" s="456" t="s">
        <v>701</v>
      </c>
      <c r="C46" s="350" t="s">
        <v>700</v>
      </c>
      <c r="D46" s="202"/>
    </row>
    <row r="47" spans="2:12" ht="13.8" thickBot="1" x14ac:dyDescent="0.3"/>
    <row r="48" spans="2:12" x14ac:dyDescent="0.25">
      <c r="B48" s="461" t="s">
        <v>726</v>
      </c>
      <c r="C48" s="109"/>
      <c r="D48" s="110"/>
    </row>
    <row r="49" spans="2:12" ht="13.8" thickBot="1" x14ac:dyDescent="0.3">
      <c r="B49" s="453" t="s">
        <v>727</v>
      </c>
      <c r="C49" s="97"/>
      <c r="D49" s="96"/>
      <c r="F49" s="202"/>
    </row>
    <row r="50" spans="2:12" x14ac:dyDescent="0.25">
      <c r="B50" s="453" t="s">
        <v>728</v>
      </c>
      <c r="C50" s="97"/>
      <c r="D50" s="96"/>
    </row>
    <row r="51" spans="2:12" x14ac:dyDescent="0.25">
      <c r="B51" s="453" t="s">
        <v>729</v>
      </c>
      <c r="C51" s="97"/>
      <c r="D51" s="96"/>
    </row>
    <row r="52" spans="2:12" x14ac:dyDescent="0.25">
      <c r="B52" s="459" t="s">
        <v>713</v>
      </c>
      <c r="C52" s="97"/>
      <c r="D52" s="96"/>
    </row>
    <row r="53" spans="2:12" x14ac:dyDescent="0.25">
      <c r="B53" s="453" t="s">
        <v>702</v>
      </c>
      <c r="C53" s="97"/>
      <c r="D53" s="96"/>
    </row>
    <row r="54" spans="2:12" ht="13.8" thickBot="1" x14ac:dyDescent="0.3">
      <c r="B54" s="454" t="s">
        <v>655</v>
      </c>
      <c r="C54" s="108"/>
      <c r="D54" s="202"/>
    </row>
    <row r="55" spans="2:12" ht="13.8" thickBot="1" x14ac:dyDescent="0.3">
      <c r="L55" s="215" t="s">
        <v>13</v>
      </c>
    </row>
    <row r="56" spans="2:12" x14ac:dyDescent="0.25">
      <c r="B56" s="462" t="s">
        <v>705</v>
      </c>
      <c r="C56" s="109"/>
      <c r="D56" s="110"/>
      <c r="L56" s="215" t="s">
        <v>12</v>
      </c>
    </row>
    <row r="57" spans="2:12" x14ac:dyDescent="0.25">
      <c r="B57" s="459" t="s">
        <v>706</v>
      </c>
      <c r="C57" s="97"/>
      <c r="D57" s="96"/>
      <c r="L57" s="215" t="s">
        <v>538</v>
      </c>
    </row>
    <row r="58" spans="2:12" ht="13.8" thickBot="1" x14ac:dyDescent="0.3">
      <c r="B58" s="460"/>
      <c r="C58" s="108"/>
      <c r="D58" s="202"/>
      <c r="L58" s="215" t="s">
        <v>11</v>
      </c>
    </row>
    <row r="59" spans="2:12" x14ac:dyDescent="0.25">
      <c r="L59" s="215" t="s">
        <v>10</v>
      </c>
    </row>
    <row r="60" spans="2:12" x14ac:dyDescent="0.25">
      <c r="L60" s="215" t="s">
        <v>9</v>
      </c>
    </row>
    <row r="61" spans="2:12" x14ac:dyDescent="0.25">
      <c r="L61" s="215" t="s">
        <v>8</v>
      </c>
    </row>
  </sheetData>
  <mergeCells count="6">
    <mergeCell ref="B37:C37"/>
    <mergeCell ref="P2:V2"/>
    <mergeCell ref="O15:O16"/>
    <mergeCell ref="W15:W16"/>
    <mergeCell ref="B2:D2"/>
    <mergeCell ref="B31:C31"/>
  </mergeCells>
  <conditionalFormatting sqref="G6:L12">
    <cfRule type="cellIs" dxfId="357" priority="66" operator="equal">
      <formula>3</formula>
    </cfRule>
    <cfRule type="cellIs" dxfId="356" priority="67" operator="equal">
      <formula>0</formula>
    </cfRule>
  </conditionalFormatting>
  <conditionalFormatting sqref="L55:L61 F20:F26">
    <cfRule type="cellIs" dxfId="355" priority="59" stopIfTrue="1" operator="equal">
      <formula>"Builder"</formula>
    </cfRule>
    <cfRule type="cellIs" dxfId="354" priority="60" stopIfTrue="1" operator="equal">
      <formula>"Agrarian"</formula>
    </cfRule>
    <cfRule type="cellIs" dxfId="353" priority="61" stopIfTrue="1" operator="equal">
      <formula>"Expansionist"</formula>
    </cfRule>
    <cfRule type="cellIs" dxfId="352" priority="62" stopIfTrue="1" operator="equal">
      <formula>"Militarist"</formula>
    </cfRule>
    <cfRule type="cellIs" dxfId="351" priority="63" stopIfTrue="1" operator="equal">
      <formula>"Aesthete"</formula>
    </cfRule>
    <cfRule type="cellIs" dxfId="350" priority="64" stopIfTrue="1" operator="equal">
      <formula>"Merchant"</formula>
    </cfRule>
    <cfRule type="cellIs" dxfId="349" priority="65" stopIfTrue="1" operator="equal">
      <formula>"Scientist"</formula>
    </cfRule>
  </conditionalFormatting>
  <conditionalFormatting sqref="F6:F12">
    <cfRule type="cellIs" dxfId="348" priority="52" stopIfTrue="1" operator="equal">
      <formula>"Builder"</formula>
    </cfRule>
    <cfRule type="cellIs" dxfId="347" priority="53" stopIfTrue="1" operator="equal">
      <formula>"Agrarian"</formula>
    </cfRule>
    <cfRule type="cellIs" dxfId="346" priority="54" stopIfTrue="1" operator="equal">
      <formula>"Expansionist"</formula>
    </cfRule>
    <cfRule type="cellIs" dxfId="345" priority="55" stopIfTrue="1" operator="equal">
      <formula>"Militarist"</formula>
    </cfRule>
    <cfRule type="cellIs" dxfId="344" priority="56" stopIfTrue="1" operator="equal">
      <formula>"Aesthete"</formula>
    </cfRule>
    <cfRule type="cellIs" dxfId="343" priority="57" stopIfTrue="1" operator="equal">
      <formula>"Merchant"</formula>
    </cfRule>
    <cfRule type="cellIs" dxfId="342" priority="58" stopIfTrue="1" operator="equal">
      <formula>"Scientist"</formula>
    </cfRule>
  </conditionalFormatting>
  <conditionalFormatting sqref="P3:V3">
    <cfRule type="cellIs" dxfId="341" priority="1" stopIfTrue="1" operator="equal">
      <formula>"Builder"</formula>
    </cfRule>
    <cfRule type="cellIs" dxfId="340" priority="2" stopIfTrue="1" operator="equal">
      <formula>"Agrarian"</formula>
    </cfRule>
    <cfRule type="cellIs" dxfId="339" priority="3" stopIfTrue="1" operator="equal">
      <formula>"Expansionist"</formula>
    </cfRule>
    <cfRule type="cellIs" dxfId="338" priority="4" stopIfTrue="1" operator="equal">
      <formula>"Militarist"</formula>
    </cfRule>
    <cfRule type="cellIs" dxfId="337" priority="5" stopIfTrue="1" operator="equal">
      <formula>"Aesthete"</formula>
    </cfRule>
    <cfRule type="cellIs" dxfId="336" priority="6" stopIfTrue="1" operator="equal">
      <formula>"Merchant"</formula>
    </cfRule>
    <cfRule type="cellIs" dxfId="335" priority="7" stopIfTrue="1" operator="equal">
      <formula>"Scientist"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4.44140625" defaultRowHeight="15.75" customHeight="1" x14ac:dyDescent="0.25"/>
  <cols>
    <col min="1" max="1" width="16.77734375" customWidth="1"/>
    <col min="2" max="2" width="15.77734375" customWidth="1"/>
    <col min="3" max="3" width="23.109375" customWidth="1"/>
    <col min="4" max="4" width="6.6640625" customWidth="1"/>
    <col min="5" max="5" width="8.33203125" customWidth="1"/>
    <col min="6" max="6" width="6.109375" customWidth="1"/>
    <col min="7" max="7" width="10.44140625" customWidth="1"/>
    <col min="8" max="8" width="16.109375" customWidth="1"/>
    <col min="9" max="9" width="62.88671875" customWidth="1"/>
    <col min="10" max="10" width="22.5546875" customWidth="1"/>
    <col min="11" max="11" width="7.6640625" customWidth="1"/>
    <col min="12" max="12" width="8.77734375" customWidth="1"/>
    <col min="13" max="13" width="12.109375" customWidth="1"/>
    <col min="14" max="14" width="19.6640625" customWidth="1"/>
    <col min="15" max="15" width="18.44140625" customWidth="1"/>
  </cols>
  <sheetData>
    <row r="1" spans="1:28" ht="13.2" x14ac:dyDescent="0.25">
      <c r="A1" s="1" t="s">
        <v>703</v>
      </c>
      <c r="B1" s="1"/>
      <c r="C1" s="4" t="s">
        <v>257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3.8" thickBot="1" x14ac:dyDescent="0.3">
      <c r="A2" s="452" t="s">
        <v>686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s="16" customFormat="1" ht="19.95" customHeight="1" thickBot="1" x14ac:dyDescent="0.3">
      <c r="A3" s="39" t="s">
        <v>16</v>
      </c>
      <c r="B3" s="40" t="s">
        <v>258</v>
      </c>
      <c r="C3" s="40" t="s">
        <v>17</v>
      </c>
      <c r="D3" s="40" t="s">
        <v>259</v>
      </c>
      <c r="E3" s="40" t="s">
        <v>260</v>
      </c>
      <c r="F3" s="40" t="s">
        <v>261</v>
      </c>
      <c r="G3" s="40" t="s">
        <v>262</v>
      </c>
      <c r="H3" s="40" t="s">
        <v>263</v>
      </c>
      <c r="I3" s="40" t="s">
        <v>264</v>
      </c>
      <c r="J3" s="40" t="s">
        <v>265</v>
      </c>
      <c r="K3" s="40" t="s">
        <v>266</v>
      </c>
      <c r="L3" s="40" t="s">
        <v>267</v>
      </c>
      <c r="M3" s="40" t="s">
        <v>268</v>
      </c>
      <c r="N3" s="40" t="s">
        <v>269</v>
      </c>
      <c r="O3" s="41" t="s">
        <v>270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ht="13.2" x14ac:dyDescent="0.25">
      <c r="A4" s="19" t="s">
        <v>254</v>
      </c>
      <c r="B4" s="80" t="s">
        <v>255</v>
      </c>
      <c r="C4" s="19" t="s">
        <v>271</v>
      </c>
      <c r="D4" s="19">
        <v>1</v>
      </c>
      <c r="E4" s="19">
        <v>10</v>
      </c>
      <c r="F4" s="19">
        <v>4</v>
      </c>
      <c r="G4" s="19" t="s">
        <v>272</v>
      </c>
      <c r="H4" s="19" t="s">
        <v>273</v>
      </c>
      <c r="I4" s="19" t="s">
        <v>274</v>
      </c>
      <c r="J4" s="19" t="s">
        <v>256</v>
      </c>
      <c r="K4" s="19">
        <v>1</v>
      </c>
      <c r="L4" s="19">
        <v>0</v>
      </c>
      <c r="M4" s="19">
        <v>0</v>
      </c>
      <c r="N4" s="19" t="s">
        <v>256</v>
      </c>
      <c r="O4" s="19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3.2" x14ac:dyDescent="0.25">
      <c r="A5" s="5" t="s">
        <v>1</v>
      </c>
      <c r="B5" s="81" t="s">
        <v>255</v>
      </c>
      <c r="C5" s="5" t="s">
        <v>275</v>
      </c>
      <c r="D5" s="3">
        <v>3</v>
      </c>
      <c r="E5" s="3">
        <v>17</v>
      </c>
      <c r="F5" s="3">
        <v>4</v>
      </c>
      <c r="G5" s="3" t="s">
        <v>272</v>
      </c>
      <c r="H5" s="33" t="s">
        <v>276</v>
      </c>
      <c r="I5" s="3" t="s">
        <v>277</v>
      </c>
      <c r="J5" s="3" t="s">
        <v>278</v>
      </c>
      <c r="K5" s="3">
        <v>1</v>
      </c>
      <c r="L5" s="3">
        <v>90</v>
      </c>
      <c r="M5" s="3">
        <v>1</v>
      </c>
      <c r="N5" s="3" t="s">
        <v>256</v>
      </c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3.2" x14ac:dyDescent="0.25">
      <c r="A6" s="5" t="s">
        <v>1</v>
      </c>
      <c r="B6" s="81" t="s">
        <v>255</v>
      </c>
      <c r="C6" s="5" t="s">
        <v>279</v>
      </c>
      <c r="D6" s="3">
        <v>1</v>
      </c>
      <c r="E6" s="3">
        <v>22</v>
      </c>
      <c r="F6" s="3">
        <v>6</v>
      </c>
      <c r="G6" s="3" t="s">
        <v>272</v>
      </c>
      <c r="H6" s="38" t="s">
        <v>280</v>
      </c>
      <c r="I6" s="3" t="s">
        <v>256</v>
      </c>
      <c r="J6" s="3" t="s">
        <v>281</v>
      </c>
      <c r="K6" s="3">
        <v>1</v>
      </c>
      <c r="L6" s="3">
        <v>180</v>
      </c>
      <c r="M6" s="3">
        <v>2</v>
      </c>
      <c r="N6" s="3" t="s">
        <v>256</v>
      </c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3.2" x14ac:dyDescent="0.25">
      <c r="A7" s="5" t="s">
        <v>1</v>
      </c>
      <c r="B7" s="81" t="s">
        <v>255</v>
      </c>
      <c r="C7" s="5" t="s">
        <v>282</v>
      </c>
      <c r="D7" s="3">
        <v>1</v>
      </c>
      <c r="E7" s="3">
        <v>16</v>
      </c>
      <c r="F7" s="3">
        <v>6</v>
      </c>
      <c r="G7" s="3" t="s">
        <v>272</v>
      </c>
      <c r="H7" s="34" t="s">
        <v>283</v>
      </c>
      <c r="I7" s="3" t="s">
        <v>256</v>
      </c>
      <c r="J7" s="3" t="s">
        <v>284</v>
      </c>
      <c r="K7" s="3">
        <v>1</v>
      </c>
      <c r="L7" s="3">
        <v>45</v>
      </c>
      <c r="M7" s="3">
        <v>0</v>
      </c>
      <c r="N7" s="3" t="s">
        <v>285</v>
      </c>
      <c r="O7" s="3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3.2" x14ac:dyDescent="0.25">
      <c r="A8" s="5" t="s">
        <v>1</v>
      </c>
      <c r="B8" s="81" t="s">
        <v>255</v>
      </c>
      <c r="C8" s="5" t="s">
        <v>286</v>
      </c>
      <c r="D8" s="3">
        <v>1</v>
      </c>
      <c r="E8" s="3">
        <v>13</v>
      </c>
      <c r="F8" s="3">
        <v>4</v>
      </c>
      <c r="G8" s="3" t="s">
        <v>272</v>
      </c>
      <c r="H8" s="35" t="s">
        <v>287</v>
      </c>
      <c r="I8" s="3" t="s">
        <v>288</v>
      </c>
      <c r="J8" s="3" t="s">
        <v>256</v>
      </c>
      <c r="K8" s="3">
        <v>1</v>
      </c>
      <c r="L8" s="3">
        <v>45</v>
      </c>
      <c r="M8" s="3">
        <v>0</v>
      </c>
      <c r="N8" s="3" t="s">
        <v>289</v>
      </c>
      <c r="O8" s="3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3.2" x14ac:dyDescent="0.25">
      <c r="A9" s="5" t="s">
        <v>1</v>
      </c>
      <c r="B9" s="81" t="s">
        <v>255</v>
      </c>
      <c r="C9" s="5" t="s">
        <v>290</v>
      </c>
      <c r="D9" s="3">
        <v>1</v>
      </c>
      <c r="E9" s="3">
        <v>18</v>
      </c>
      <c r="F9" s="3">
        <v>4</v>
      </c>
      <c r="G9" s="3" t="s">
        <v>272</v>
      </c>
      <c r="H9" s="36" t="s">
        <v>291</v>
      </c>
      <c r="I9" s="3" t="s">
        <v>256</v>
      </c>
      <c r="J9" s="3" t="s">
        <v>292</v>
      </c>
      <c r="K9" s="3">
        <v>1</v>
      </c>
      <c r="L9" s="3">
        <v>90</v>
      </c>
      <c r="M9" s="3">
        <v>1</v>
      </c>
      <c r="N9" s="3" t="s">
        <v>293</v>
      </c>
      <c r="O9" s="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3.2" x14ac:dyDescent="0.25">
      <c r="A10" s="5" t="s">
        <v>1</v>
      </c>
      <c r="B10" s="81" t="s">
        <v>255</v>
      </c>
      <c r="C10" s="5" t="s">
        <v>294</v>
      </c>
      <c r="D10" s="3">
        <v>1</v>
      </c>
      <c r="E10" s="3">
        <v>19</v>
      </c>
      <c r="F10" s="3">
        <v>4</v>
      </c>
      <c r="G10" s="3" t="s">
        <v>272</v>
      </c>
      <c r="H10" s="35" t="s">
        <v>287</v>
      </c>
      <c r="I10" s="3" t="s">
        <v>256</v>
      </c>
      <c r="J10" s="3" t="s">
        <v>295</v>
      </c>
      <c r="K10" s="3">
        <v>1</v>
      </c>
      <c r="L10" s="3">
        <v>90</v>
      </c>
      <c r="M10" s="3">
        <v>1</v>
      </c>
      <c r="N10" s="3" t="s">
        <v>256</v>
      </c>
      <c r="O10" s="3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3.2" x14ac:dyDescent="0.25">
      <c r="A11" s="6" t="s">
        <v>2</v>
      </c>
      <c r="B11" s="81" t="s">
        <v>255</v>
      </c>
      <c r="C11" s="6" t="s">
        <v>296</v>
      </c>
      <c r="D11" s="3">
        <v>1</v>
      </c>
      <c r="E11" s="3">
        <v>26</v>
      </c>
      <c r="F11" s="3">
        <v>6</v>
      </c>
      <c r="G11" s="3" t="s">
        <v>272</v>
      </c>
      <c r="H11" s="34" t="s">
        <v>283</v>
      </c>
      <c r="I11" s="3" t="s">
        <v>256</v>
      </c>
      <c r="J11" s="3" t="s">
        <v>297</v>
      </c>
      <c r="K11" s="3">
        <v>1</v>
      </c>
      <c r="L11" s="3">
        <v>180</v>
      </c>
      <c r="M11" s="3">
        <v>8</v>
      </c>
      <c r="N11" s="3" t="s">
        <v>298</v>
      </c>
      <c r="O11" s="3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3.2" x14ac:dyDescent="0.25">
      <c r="A12" s="6" t="s">
        <v>2</v>
      </c>
      <c r="B12" s="81" t="s">
        <v>255</v>
      </c>
      <c r="C12" s="6" t="s">
        <v>299</v>
      </c>
      <c r="D12" s="3">
        <v>1</v>
      </c>
      <c r="E12" s="3">
        <v>25</v>
      </c>
      <c r="F12" s="3">
        <v>4</v>
      </c>
      <c r="G12" s="3" t="s">
        <v>272</v>
      </c>
      <c r="H12" s="35" t="s">
        <v>287</v>
      </c>
      <c r="I12" s="3" t="s">
        <v>256</v>
      </c>
      <c r="J12" s="3" t="s">
        <v>300</v>
      </c>
      <c r="K12" s="3">
        <v>1</v>
      </c>
      <c r="L12" s="3">
        <v>90</v>
      </c>
      <c r="M12" s="3">
        <v>5</v>
      </c>
      <c r="N12" s="3" t="s">
        <v>301</v>
      </c>
      <c r="O12" s="3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3.2" x14ac:dyDescent="0.25">
      <c r="A13" s="7" t="s">
        <v>3</v>
      </c>
      <c r="B13" s="81" t="s">
        <v>255</v>
      </c>
      <c r="C13" s="7" t="s">
        <v>302</v>
      </c>
      <c r="D13" s="3">
        <v>3</v>
      </c>
      <c r="E13" s="3">
        <v>31</v>
      </c>
      <c r="F13" s="3">
        <v>4</v>
      </c>
      <c r="G13" s="3" t="s">
        <v>272</v>
      </c>
      <c r="H13" s="33" t="s">
        <v>276</v>
      </c>
      <c r="I13" s="3" t="s">
        <v>256</v>
      </c>
      <c r="J13" s="3" t="s">
        <v>303</v>
      </c>
      <c r="K13" s="3">
        <v>1</v>
      </c>
      <c r="L13" s="3">
        <v>200</v>
      </c>
      <c r="M13" s="3">
        <v>15</v>
      </c>
      <c r="N13" s="3" t="s">
        <v>256</v>
      </c>
      <c r="O13" s="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3.2" x14ac:dyDescent="0.25">
      <c r="A14" s="7" t="s">
        <v>3</v>
      </c>
      <c r="B14" s="81" t="s">
        <v>255</v>
      </c>
      <c r="C14" s="7" t="s">
        <v>304</v>
      </c>
      <c r="D14" s="3">
        <v>1</v>
      </c>
      <c r="E14" s="3">
        <v>35</v>
      </c>
      <c r="F14" s="3">
        <v>4</v>
      </c>
      <c r="G14" s="3" t="s">
        <v>272</v>
      </c>
      <c r="H14" s="35" t="s">
        <v>287</v>
      </c>
      <c r="I14" s="3" t="s">
        <v>256</v>
      </c>
      <c r="J14" s="3" t="s">
        <v>305</v>
      </c>
      <c r="K14" s="3">
        <v>2</v>
      </c>
      <c r="L14" s="3">
        <v>400</v>
      </c>
      <c r="M14" s="3">
        <v>20</v>
      </c>
      <c r="N14" s="3" t="s">
        <v>306</v>
      </c>
      <c r="O14" s="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3.2" x14ac:dyDescent="0.25">
      <c r="A15" s="7" t="s">
        <v>3</v>
      </c>
      <c r="B15" s="81" t="s">
        <v>255</v>
      </c>
      <c r="C15" s="7" t="s">
        <v>307</v>
      </c>
      <c r="D15" s="3">
        <v>1</v>
      </c>
      <c r="E15" s="3">
        <v>36</v>
      </c>
      <c r="F15" s="3">
        <v>6</v>
      </c>
      <c r="G15" s="3" t="s">
        <v>272</v>
      </c>
      <c r="H15" s="38" t="s">
        <v>280</v>
      </c>
      <c r="I15" s="3" t="s">
        <v>256</v>
      </c>
      <c r="J15" s="3" t="s">
        <v>308</v>
      </c>
      <c r="K15" s="3">
        <v>2</v>
      </c>
      <c r="L15" s="3">
        <v>800</v>
      </c>
      <c r="M15" s="3">
        <v>25</v>
      </c>
      <c r="N15" s="3" t="s">
        <v>309</v>
      </c>
      <c r="O15" s="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3.2" x14ac:dyDescent="0.25">
      <c r="A16" s="7" t="s">
        <v>3</v>
      </c>
      <c r="B16" s="81" t="s">
        <v>255</v>
      </c>
      <c r="C16" s="7" t="s">
        <v>310</v>
      </c>
      <c r="D16" s="3">
        <v>1</v>
      </c>
      <c r="E16" s="3">
        <v>31</v>
      </c>
      <c r="F16" s="3">
        <v>4</v>
      </c>
      <c r="G16" s="3" t="s">
        <v>272</v>
      </c>
      <c r="H16" s="36" t="s">
        <v>291</v>
      </c>
      <c r="I16" s="3" t="s">
        <v>256</v>
      </c>
      <c r="J16" s="3" t="s">
        <v>303</v>
      </c>
      <c r="K16" s="3">
        <v>1</v>
      </c>
      <c r="L16" s="3">
        <v>200</v>
      </c>
      <c r="M16" s="3">
        <v>15</v>
      </c>
      <c r="N16" s="3" t="s">
        <v>256</v>
      </c>
      <c r="O16" s="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3.2" x14ac:dyDescent="0.25">
      <c r="A17" s="7" t="s">
        <v>3</v>
      </c>
      <c r="B17" s="81" t="s">
        <v>255</v>
      </c>
      <c r="C17" s="7" t="s">
        <v>311</v>
      </c>
      <c r="D17" s="3">
        <v>1</v>
      </c>
      <c r="E17" s="3">
        <v>31</v>
      </c>
      <c r="F17" s="3">
        <v>4</v>
      </c>
      <c r="G17" s="3" t="s">
        <v>272</v>
      </c>
      <c r="H17" s="35" t="s">
        <v>287</v>
      </c>
      <c r="I17" s="3" t="s">
        <v>312</v>
      </c>
      <c r="J17" s="3" t="s">
        <v>313</v>
      </c>
      <c r="K17" s="3">
        <v>1</v>
      </c>
      <c r="L17" s="3">
        <v>400</v>
      </c>
      <c r="M17" s="3">
        <v>6</v>
      </c>
      <c r="N17" s="3" t="s">
        <v>256</v>
      </c>
      <c r="O17" s="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3.2" x14ac:dyDescent="0.25">
      <c r="A18" s="8" t="s">
        <v>4</v>
      </c>
      <c r="B18" s="81" t="s">
        <v>255</v>
      </c>
      <c r="C18" s="8" t="s">
        <v>314</v>
      </c>
      <c r="D18" s="3">
        <v>4</v>
      </c>
      <c r="E18" s="3">
        <v>39</v>
      </c>
      <c r="F18" s="3">
        <v>4</v>
      </c>
      <c r="G18" s="3" t="s">
        <v>272</v>
      </c>
      <c r="H18" s="37" t="s">
        <v>315</v>
      </c>
      <c r="I18" s="3" t="s">
        <v>316</v>
      </c>
      <c r="J18" s="3" t="s">
        <v>317</v>
      </c>
      <c r="K18" s="3">
        <v>2</v>
      </c>
      <c r="L18" s="3">
        <v>970</v>
      </c>
      <c r="M18" s="3">
        <v>10</v>
      </c>
      <c r="N18" s="3" t="s">
        <v>318</v>
      </c>
      <c r="O18" s="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3.2" x14ac:dyDescent="0.25">
      <c r="A19" s="8" t="s">
        <v>4</v>
      </c>
      <c r="B19" s="81" t="s">
        <v>255</v>
      </c>
      <c r="C19" s="8" t="s">
        <v>319</v>
      </c>
      <c r="D19" s="3">
        <v>1</v>
      </c>
      <c r="E19" s="3">
        <v>41</v>
      </c>
      <c r="F19" s="3">
        <v>4</v>
      </c>
      <c r="G19" s="3" t="s">
        <v>272</v>
      </c>
      <c r="H19" s="36" t="s">
        <v>291</v>
      </c>
      <c r="I19" s="3" t="s">
        <v>256</v>
      </c>
      <c r="J19" s="3" t="s">
        <v>320</v>
      </c>
      <c r="K19" s="3">
        <v>3</v>
      </c>
      <c r="L19" s="3">
        <v>485</v>
      </c>
      <c r="M19" s="3">
        <v>9</v>
      </c>
      <c r="N19" s="3" t="s">
        <v>256</v>
      </c>
      <c r="O19" s="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3.2" x14ac:dyDescent="0.25">
      <c r="A20" s="8" t="s">
        <v>4</v>
      </c>
      <c r="B20" s="81" t="s">
        <v>255</v>
      </c>
      <c r="C20" s="8" t="s">
        <v>321</v>
      </c>
      <c r="D20" s="3">
        <v>8</v>
      </c>
      <c r="E20" s="3">
        <v>40</v>
      </c>
      <c r="F20" s="3">
        <v>4</v>
      </c>
      <c r="G20" s="3" t="s">
        <v>272</v>
      </c>
      <c r="H20" s="3" t="s">
        <v>322</v>
      </c>
      <c r="I20" s="3" t="s">
        <v>323</v>
      </c>
      <c r="J20" s="3" t="s">
        <v>324</v>
      </c>
      <c r="K20" s="3">
        <v>1</v>
      </c>
      <c r="L20" s="3">
        <v>970</v>
      </c>
      <c r="M20" s="3">
        <v>35</v>
      </c>
      <c r="N20" s="3" t="s">
        <v>325</v>
      </c>
      <c r="O20" s="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3.2" x14ac:dyDescent="0.25">
      <c r="A21" s="8" t="s">
        <v>4</v>
      </c>
      <c r="B21" s="81" t="s">
        <v>255</v>
      </c>
      <c r="C21" s="8" t="s">
        <v>326</v>
      </c>
      <c r="D21" s="3">
        <v>4</v>
      </c>
      <c r="E21" s="3">
        <v>46</v>
      </c>
      <c r="F21" s="3">
        <v>4</v>
      </c>
      <c r="G21" s="3" t="s">
        <v>272</v>
      </c>
      <c r="H21" s="37" t="s">
        <v>315</v>
      </c>
      <c r="I21" s="3" t="s">
        <v>316</v>
      </c>
      <c r="J21" s="3" t="s">
        <v>327</v>
      </c>
      <c r="K21" s="3">
        <v>2</v>
      </c>
      <c r="L21" s="3">
        <v>970</v>
      </c>
      <c r="M21" s="3">
        <v>35</v>
      </c>
      <c r="N21" s="3" t="s">
        <v>328</v>
      </c>
      <c r="O21" s="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3.2" x14ac:dyDescent="0.25">
      <c r="A22" s="8" t="s">
        <v>4</v>
      </c>
      <c r="B22" s="81" t="s">
        <v>255</v>
      </c>
      <c r="C22" s="8" t="s">
        <v>329</v>
      </c>
      <c r="D22" s="3">
        <v>1</v>
      </c>
      <c r="E22" s="3">
        <v>32</v>
      </c>
      <c r="F22" s="3">
        <v>4</v>
      </c>
      <c r="G22" s="3" t="s">
        <v>272</v>
      </c>
      <c r="H22" s="35" t="s">
        <v>287</v>
      </c>
      <c r="I22" s="3" t="s">
        <v>330</v>
      </c>
      <c r="J22" s="3" t="s">
        <v>331</v>
      </c>
      <c r="K22" s="3">
        <v>1</v>
      </c>
      <c r="L22" s="3">
        <v>970</v>
      </c>
      <c r="M22" s="3">
        <v>0</v>
      </c>
      <c r="N22" s="3" t="s">
        <v>256</v>
      </c>
      <c r="O22" s="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3.2" x14ac:dyDescent="0.25">
      <c r="A23" s="9" t="s">
        <v>5</v>
      </c>
      <c r="B23" s="81" t="s">
        <v>255</v>
      </c>
      <c r="C23" s="9" t="s">
        <v>332</v>
      </c>
      <c r="D23" s="3">
        <v>4</v>
      </c>
      <c r="E23" s="3">
        <v>46</v>
      </c>
      <c r="F23" s="3">
        <v>6</v>
      </c>
      <c r="G23" s="3" t="s">
        <v>272</v>
      </c>
      <c r="H23" s="37" t="s">
        <v>315</v>
      </c>
      <c r="I23" s="3" t="s">
        <v>333</v>
      </c>
      <c r="J23" s="3" t="s">
        <v>334</v>
      </c>
      <c r="K23" s="3">
        <v>3</v>
      </c>
      <c r="L23" s="3">
        <v>2576</v>
      </c>
      <c r="M23" s="3">
        <v>13</v>
      </c>
      <c r="N23" s="3" t="s">
        <v>335</v>
      </c>
      <c r="O23" s="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3.2" x14ac:dyDescent="0.25">
      <c r="A24" s="9" t="s">
        <v>5</v>
      </c>
      <c r="B24" s="81" t="s">
        <v>255</v>
      </c>
      <c r="C24" s="9" t="s">
        <v>336</v>
      </c>
      <c r="D24" s="3">
        <v>8</v>
      </c>
      <c r="E24" s="3">
        <v>50</v>
      </c>
      <c r="F24" s="3">
        <v>4</v>
      </c>
      <c r="G24" s="3" t="s">
        <v>272</v>
      </c>
      <c r="H24" s="38" t="s">
        <v>280</v>
      </c>
      <c r="I24" s="3" t="s">
        <v>337</v>
      </c>
      <c r="J24" s="3" t="s">
        <v>338</v>
      </c>
      <c r="K24" s="3">
        <v>2</v>
      </c>
      <c r="L24" s="3">
        <v>2575</v>
      </c>
      <c r="M24" s="3">
        <v>55</v>
      </c>
      <c r="N24" s="3" t="s">
        <v>256</v>
      </c>
      <c r="O24" s="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3.2" x14ac:dyDescent="0.25">
      <c r="A25" s="9" t="s">
        <v>5</v>
      </c>
      <c r="B25" s="81" t="s">
        <v>255</v>
      </c>
      <c r="C25" s="9" t="s">
        <v>339</v>
      </c>
      <c r="D25" s="3">
        <v>8</v>
      </c>
      <c r="E25" s="3">
        <v>49</v>
      </c>
      <c r="F25" s="3">
        <v>4</v>
      </c>
      <c r="G25" s="3" t="s">
        <v>272</v>
      </c>
      <c r="H25" s="3" t="s">
        <v>322</v>
      </c>
      <c r="I25" s="3" t="s">
        <v>340</v>
      </c>
      <c r="J25" s="3" t="s">
        <v>341</v>
      </c>
      <c r="K25" s="3">
        <v>2</v>
      </c>
      <c r="L25" s="3">
        <v>1290</v>
      </c>
      <c r="M25" s="3">
        <v>50</v>
      </c>
      <c r="N25" s="3" t="s">
        <v>342</v>
      </c>
      <c r="O25" s="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3.2" x14ac:dyDescent="0.25">
      <c r="A26" s="9" t="s">
        <v>5</v>
      </c>
      <c r="B26" s="81" t="s">
        <v>255</v>
      </c>
      <c r="C26" s="9" t="s">
        <v>343</v>
      </c>
      <c r="D26" s="3">
        <v>4</v>
      </c>
      <c r="E26" s="3">
        <v>47</v>
      </c>
      <c r="F26" s="3">
        <v>4</v>
      </c>
      <c r="G26" s="3" t="s">
        <v>272</v>
      </c>
      <c r="H26" s="37" t="s">
        <v>315</v>
      </c>
      <c r="I26" s="3" t="s">
        <v>256</v>
      </c>
      <c r="J26" s="3" t="s">
        <v>344</v>
      </c>
      <c r="K26" s="3">
        <v>4</v>
      </c>
      <c r="L26" s="3">
        <v>2575</v>
      </c>
      <c r="M26" s="3">
        <v>55</v>
      </c>
      <c r="N26" s="3" t="s">
        <v>256</v>
      </c>
      <c r="O26" s="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3.2" x14ac:dyDescent="0.25">
      <c r="A27" s="9" t="s">
        <v>5</v>
      </c>
      <c r="B27" s="81" t="s">
        <v>255</v>
      </c>
      <c r="C27" s="9" t="s">
        <v>345</v>
      </c>
      <c r="D27" s="3">
        <v>4</v>
      </c>
      <c r="E27" s="3">
        <v>45</v>
      </c>
      <c r="F27" s="3">
        <v>4</v>
      </c>
      <c r="G27" s="3" t="s">
        <v>272</v>
      </c>
      <c r="H27" s="37" t="s">
        <v>315</v>
      </c>
      <c r="I27" s="3" t="s">
        <v>312</v>
      </c>
      <c r="J27" s="3" t="s">
        <v>346</v>
      </c>
      <c r="K27" s="3">
        <v>2</v>
      </c>
      <c r="L27" s="3">
        <v>1290</v>
      </c>
      <c r="M27" s="3">
        <v>50</v>
      </c>
      <c r="N27" s="3" t="s">
        <v>256</v>
      </c>
      <c r="O27" s="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3.2" x14ac:dyDescent="0.25">
      <c r="A28" s="9" t="s">
        <v>5</v>
      </c>
      <c r="B28" s="81" t="s">
        <v>255</v>
      </c>
      <c r="C28" s="9" t="s">
        <v>347</v>
      </c>
      <c r="D28" s="3">
        <v>8</v>
      </c>
      <c r="E28" s="3">
        <v>51</v>
      </c>
      <c r="F28" s="3">
        <v>4</v>
      </c>
      <c r="G28" s="3" t="s">
        <v>272</v>
      </c>
      <c r="H28" s="3" t="s">
        <v>322</v>
      </c>
      <c r="I28" s="3" t="s">
        <v>348</v>
      </c>
      <c r="J28" s="3" t="s">
        <v>338</v>
      </c>
      <c r="K28" s="3">
        <v>2</v>
      </c>
      <c r="L28" s="3">
        <v>2575</v>
      </c>
      <c r="M28" s="3">
        <v>50</v>
      </c>
      <c r="N28" s="3" t="s">
        <v>349</v>
      </c>
      <c r="O28" s="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3.2" x14ac:dyDescent="0.25">
      <c r="A29" s="105" t="s">
        <v>6</v>
      </c>
      <c r="B29" s="81" t="s">
        <v>255</v>
      </c>
      <c r="C29" s="105" t="s">
        <v>350</v>
      </c>
      <c r="D29" s="3">
        <v>6</v>
      </c>
      <c r="E29" s="3">
        <v>55</v>
      </c>
      <c r="F29" s="3">
        <v>8</v>
      </c>
      <c r="G29" s="3" t="s">
        <v>272</v>
      </c>
      <c r="H29" s="3" t="s">
        <v>351</v>
      </c>
      <c r="I29" s="3" t="s">
        <v>256</v>
      </c>
      <c r="J29" s="3" t="s">
        <v>352</v>
      </c>
      <c r="K29" s="3">
        <v>2</v>
      </c>
      <c r="L29" s="3">
        <v>3700</v>
      </c>
      <c r="M29" s="3">
        <v>70</v>
      </c>
      <c r="N29" s="3" t="s">
        <v>353</v>
      </c>
      <c r="O29" s="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3.2" x14ac:dyDescent="0.25">
      <c r="A30" s="105" t="s">
        <v>6</v>
      </c>
      <c r="B30" s="81" t="s">
        <v>255</v>
      </c>
      <c r="C30" s="105" t="s">
        <v>354</v>
      </c>
      <c r="D30" s="3">
        <v>8</v>
      </c>
      <c r="E30" s="3">
        <v>53</v>
      </c>
      <c r="F30" s="3">
        <v>4</v>
      </c>
      <c r="G30" s="3" t="s">
        <v>272</v>
      </c>
      <c r="H30" s="3" t="s">
        <v>322</v>
      </c>
      <c r="I30" s="3" t="s">
        <v>355</v>
      </c>
      <c r="J30" s="3" t="s">
        <v>356</v>
      </c>
      <c r="K30" s="3">
        <v>2</v>
      </c>
      <c r="L30" s="3">
        <v>3700</v>
      </c>
      <c r="M30" s="3">
        <v>70</v>
      </c>
      <c r="N30" s="3" t="s">
        <v>306</v>
      </c>
      <c r="O30" s="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3.2" x14ac:dyDescent="0.25">
      <c r="A31" s="105" t="s">
        <v>6</v>
      </c>
      <c r="B31" s="81" t="s">
        <v>255</v>
      </c>
      <c r="C31" s="105" t="s">
        <v>357</v>
      </c>
      <c r="D31" s="3">
        <v>6</v>
      </c>
      <c r="E31" s="3">
        <v>62</v>
      </c>
      <c r="F31" s="3">
        <v>8</v>
      </c>
      <c r="G31" s="3" t="s">
        <v>272</v>
      </c>
      <c r="H31" s="3" t="s">
        <v>351</v>
      </c>
      <c r="I31" s="3" t="s">
        <v>256</v>
      </c>
      <c r="J31" s="3" t="s">
        <v>358</v>
      </c>
      <c r="K31" s="3">
        <v>2</v>
      </c>
      <c r="L31" s="3">
        <v>3700</v>
      </c>
      <c r="M31" s="3">
        <v>70</v>
      </c>
      <c r="N31" s="3" t="s">
        <v>359</v>
      </c>
      <c r="O31" s="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3.2" x14ac:dyDescent="0.25">
      <c r="A32" s="105" t="s">
        <v>6</v>
      </c>
      <c r="B32" s="81" t="s">
        <v>255</v>
      </c>
      <c r="C32" s="105" t="s">
        <v>360</v>
      </c>
      <c r="D32" s="3">
        <v>4</v>
      </c>
      <c r="E32" s="3">
        <v>54</v>
      </c>
      <c r="F32" s="3">
        <v>4</v>
      </c>
      <c r="G32" s="3" t="s">
        <v>272</v>
      </c>
      <c r="H32" s="37" t="s">
        <v>315</v>
      </c>
      <c r="I32" s="3" t="s">
        <v>312</v>
      </c>
      <c r="J32" s="3" t="s">
        <v>361</v>
      </c>
      <c r="K32" s="3">
        <v>3</v>
      </c>
      <c r="L32" s="3">
        <v>7400</v>
      </c>
      <c r="M32" s="3">
        <v>80</v>
      </c>
      <c r="N32" s="3" t="s">
        <v>256</v>
      </c>
      <c r="O32" s="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3.2" x14ac:dyDescent="0.25">
      <c r="A33" s="105" t="s">
        <v>6</v>
      </c>
      <c r="B33" s="81" t="s">
        <v>255</v>
      </c>
      <c r="C33" s="105" t="s">
        <v>362</v>
      </c>
      <c r="D33" s="3">
        <v>1</v>
      </c>
      <c r="E33" s="3">
        <v>48</v>
      </c>
      <c r="F33" s="3">
        <v>4</v>
      </c>
      <c r="G33" s="3" t="s">
        <v>272</v>
      </c>
      <c r="H33" s="35" t="s">
        <v>287</v>
      </c>
      <c r="I33" s="3" t="s">
        <v>363</v>
      </c>
      <c r="J33" s="3" t="s">
        <v>364</v>
      </c>
      <c r="K33" s="3">
        <v>1</v>
      </c>
      <c r="L33" s="3">
        <v>3700</v>
      </c>
      <c r="M33" s="3">
        <v>0</v>
      </c>
      <c r="N33" s="3" t="s">
        <v>256</v>
      </c>
      <c r="O33" s="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3.2" x14ac:dyDescent="0.25">
      <c r="A34" s="105" t="s">
        <v>6</v>
      </c>
      <c r="B34" s="81" t="s">
        <v>255</v>
      </c>
      <c r="C34" s="105" t="s">
        <v>365</v>
      </c>
      <c r="D34" s="3">
        <v>3</v>
      </c>
      <c r="E34" s="3">
        <v>58</v>
      </c>
      <c r="F34" s="3">
        <v>10</v>
      </c>
      <c r="G34" s="3" t="s">
        <v>272</v>
      </c>
      <c r="H34" s="3" t="s">
        <v>366</v>
      </c>
      <c r="I34" s="3" t="s">
        <v>340</v>
      </c>
      <c r="J34" s="3" t="s">
        <v>367</v>
      </c>
      <c r="K34" s="3">
        <v>2</v>
      </c>
      <c r="L34" s="3">
        <v>3700</v>
      </c>
      <c r="M34" s="3">
        <v>70</v>
      </c>
      <c r="N34" s="3" t="s">
        <v>368</v>
      </c>
      <c r="O34" s="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3.2" x14ac:dyDescent="0.25">
      <c r="A35" s="105" t="s">
        <v>6</v>
      </c>
      <c r="B35" s="81" t="s">
        <v>255</v>
      </c>
      <c r="C35" s="105" t="s">
        <v>369</v>
      </c>
      <c r="D35" s="3">
        <v>6</v>
      </c>
      <c r="E35" s="3">
        <v>69</v>
      </c>
      <c r="F35" s="3">
        <v>8</v>
      </c>
      <c r="G35" s="3" t="s">
        <v>272</v>
      </c>
      <c r="H35" s="3" t="s">
        <v>351</v>
      </c>
      <c r="I35" s="3" t="s">
        <v>355</v>
      </c>
      <c r="J35" s="3" t="s">
        <v>358</v>
      </c>
      <c r="K35" s="3">
        <v>3</v>
      </c>
      <c r="L35" s="3">
        <v>14805</v>
      </c>
      <c r="M35" s="3">
        <v>90</v>
      </c>
      <c r="N35" s="3" t="s">
        <v>370</v>
      </c>
      <c r="O35" s="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3.2" x14ac:dyDescent="0.25">
      <c r="A36" s="105" t="s">
        <v>6</v>
      </c>
      <c r="B36" s="81" t="s">
        <v>255</v>
      </c>
      <c r="C36" s="105" t="s">
        <v>371</v>
      </c>
      <c r="D36" s="3">
        <v>6</v>
      </c>
      <c r="E36" s="3">
        <v>61</v>
      </c>
      <c r="F36" s="3">
        <v>8</v>
      </c>
      <c r="G36" s="3" t="s">
        <v>272</v>
      </c>
      <c r="H36" s="3" t="s">
        <v>351</v>
      </c>
      <c r="I36" s="3" t="s">
        <v>256</v>
      </c>
      <c r="J36" s="3" t="s">
        <v>356</v>
      </c>
      <c r="K36" s="3">
        <v>2</v>
      </c>
      <c r="L36" s="3">
        <v>7400</v>
      </c>
      <c r="M36" s="3">
        <v>80</v>
      </c>
      <c r="N36" s="3" t="s">
        <v>372</v>
      </c>
      <c r="O36" s="3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3.2" x14ac:dyDescent="0.25">
      <c r="A37" s="105" t="s">
        <v>6</v>
      </c>
      <c r="B37" s="81" t="s">
        <v>255</v>
      </c>
      <c r="C37" s="105" t="s">
        <v>373</v>
      </c>
      <c r="D37" s="3">
        <v>4</v>
      </c>
      <c r="E37" s="3">
        <v>52</v>
      </c>
      <c r="F37" s="3">
        <v>4</v>
      </c>
      <c r="G37" s="3" t="s">
        <v>272</v>
      </c>
      <c r="H37" s="37" t="s">
        <v>315</v>
      </c>
      <c r="I37" s="3" t="s">
        <v>256</v>
      </c>
      <c r="J37" s="3" t="s">
        <v>374</v>
      </c>
      <c r="K37" s="3">
        <v>4</v>
      </c>
      <c r="L37" s="3">
        <v>3700</v>
      </c>
      <c r="M37" s="3">
        <v>70</v>
      </c>
      <c r="N37" s="3" t="s">
        <v>256</v>
      </c>
      <c r="O37" s="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3.2" x14ac:dyDescent="0.25">
      <c r="A38" s="5" t="s">
        <v>1</v>
      </c>
      <c r="B38" s="81" t="s">
        <v>255</v>
      </c>
      <c r="C38" s="5" t="s">
        <v>375</v>
      </c>
      <c r="D38" s="3">
        <v>1</v>
      </c>
      <c r="E38" s="3">
        <v>22</v>
      </c>
      <c r="F38" s="3">
        <v>4</v>
      </c>
      <c r="G38" s="3" t="s">
        <v>376</v>
      </c>
      <c r="H38" s="3" t="s">
        <v>377</v>
      </c>
      <c r="I38" s="3" t="s">
        <v>378</v>
      </c>
      <c r="J38" s="3" t="s">
        <v>379</v>
      </c>
      <c r="K38" s="3">
        <v>1</v>
      </c>
      <c r="L38" s="3">
        <v>90</v>
      </c>
      <c r="M38" s="3">
        <v>1</v>
      </c>
      <c r="N38" s="3" t="s">
        <v>256</v>
      </c>
      <c r="O38" s="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3.2" x14ac:dyDescent="0.25">
      <c r="A39" s="6" t="s">
        <v>2</v>
      </c>
      <c r="B39" s="81" t="s">
        <v>255</v>
      </c>
      <c r="C39" s="6" t="s">
        <v>380</v>
      </c>
      <c r="D39" s="3">
        <v>1</v>
      </c>
      <c r="E39" s="3">
        <v>28</v>
      </c>
      <c r="F39" s="3">
        <v>4</v>
      </c>
      <c r="G39" s="3" t="s">
        <v>376</v>
      </c>
      <c r="H39" s="3" t="s">
        <v>377</v>
      </c>
      <c r="I39" s="3" t="s">
        <v>381</v>
      </c>
      <c r="J39" s="3" t="s">
        <v>382</v>
      </c>
      <c r="K39" s="3">
        <v>1</v>
      </c>
      <c r="L39" s="3">
        <v>180</v>
      </c>
      <c r="M39" s="3">
        <v>8</v>
      </c>
      <c r="N39" s="3" t="s">
        <v>256</v>
      </c>
      <c r="O39" s="3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3.2" x14ac:dyDescent="0.25">
      <c r="A40" s="6" t="s">
        <v>2</v>
      </c>
      <c r="B40" s="81" t="s">
        <v>255</v>
      </c>
      <c r="C40" s="6" t="s">
        <v>383</v>
      </c>
      <c r="D40" s="3">
        <v>1</v>
      </c>
      <c r="E40" s="3">
        <v>8</v>
      </c>
      <c r="F40" s="3">
        <v>2</v>
      </c>
      <c r="G40" s="3" t="s">
        <v>376</v>
      </c>
      <c r="H40" s="3" t="s">
        <v>384</v>
      </c>
      <c r="I40" s="3" t="s">
        <v>378</v>
      </c>
      <c r="J40" s="3" t="s">
        <v>385</v>
      </c>
      <c r="K40" s="3">
        <v>0</v>
      </c>
      <c r="L40" s="3">
        <v>0</v>
      </c>
      <c r="M40" s="3">
        <v>0</v>
      </c>
      <c r="N40" s="3" t="s">
        <v>256</v>
      </c>
      <c r="O40" s="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3.2" x14ac:dyDescent="0.25">
      <c r="A41" s="7" t="s">
        <v>3</v>
      </c>
      <c r="B41" s="81" t="s">
        <v>255</v>
      </c>
      <c r="C41" s="7" t="s">
        <v>386</v>
      </c>
      <c r="D41" s="3">
        <v>1</v>
      </c>
      <c r="E41" s="3">
        <v>33</v>
      </c>
      <c r="F41" s="3">
        <v>4</v>
      </c>
      <c r="G41" s="3" t="s">
        <v>376</v>
      </c>
      <c r="H41" s="3" t="s">
        <v>377</v>
      </c>
      <c r="I41" s="3" t="s">
        <v>387</v>
      </c>
      <c r="J41" s="3" t="s">
        <v>388</v>
      </c>
      <c r="K41" s="3">
        <v>2</v>
      </c>
      <c r="L41" s="3">
        <v>400</v>
      </c>
      <c r="M41" s="3">
        <v>20</v>
      </c>
      <c r="N41" s="3" t="s">
        <v>256</v>
      </c>
      <c r="O41" s="3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3.2" x14ac:dyDescent="0.25">
      <c r="A42" s="8" t="s">
        <v>4</v>
      </c>
      <c r="B42" s="81" t="s">
        <v>255</v>
      </c>
      <c r="C42" s="8" t="s">
        <v>389</v>
      </c>
      <c r="D42" s="3">
        <v>1</v>
      </c>
      <c r="E42" s="3">
        <v>27</v>
      </c>
      <c r="F42" s="3">
        <v>3</v>
      </c>
      <c r="G42" s="3" t="s">
        <v>376</v>
      </c>
      <c r="H42" s="3" t="s">
        <v>384</v>
      </c>
      <c r="I42" s="3" t="s">
        <v>390</v>
      </c>
      <c r="J42" s="3" t="s">
        <v>391</v>
      </c>
      <c r="K42" s="3">
        <v>0</v>
      </c>
      <c r="L42" s="3">
        <v>0</v>
      </c>
      <c r="M42" s="3">
        <v>0</v>
      </c>
      <c r="N42" s="3" t="s">
        <v>256</v>
      </c>
      <c r="O42" s="3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3.2" x14ac:dyDescent="0.25">
      <c r="A43" s="8" t="s">
        <v>4</v>
      </c>
      <c r="B43" s="81" t="s">
        <v>255</v>
      </c>
      <c r="C43" s="8" t="s">
        <v>392</v>
      </c>
      <c r="D43" s="3">
        <v>4</v>
      </c>
      <c r="E43" s="3">
        <v>39</v>
      </c>
      <c r="F43" s="3">
        <v>6</v>
      </c>
      <c r="G43" s="3" t="s">
        <v>376</v>
      </c>
      <c r="H43" s="3" t="s">
        <v>393</v>
      </c>
      <c r="I43" s="3" t="s">
        <v>256</v>
      </c>
      <c r="J43" s="3" t="s">
        <v>394</v>
      </c>
      <c r="K43" s="3">
        <v>2</v>
      </c>
      <c r="L43" s="3">
        <v>970</v>
      </c>
      <c r="M43" s="3">
        <v>35</v>
      </c>
      <c r="N43" s="3" t="s">
        <v>395</v>
      </c>
      <c r="O43" s="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3.2" x14ac:dyDescent="0.25">
      <c r="A44" s="8" t="s">
        <v>4</v>
      </c>
      <c r="B44" s="81" t="s">
        <v>255</v>
      </c>
      <c r="C44" s="8" t="s">
        <v>396</v>
      </c>
      <c r="D44" s="3">
        <v>4</v>
      </c>
      <c r="E44" s="3">
        <v>53</v>
      </c>
      <c r="F44" s="3">
        <v>6</v>
      </c>
      <c r="G44" s="3" t="s">
        <v>376</v>
      </c>
      <c r="H44" s="3" t="s">
        <v>393</v>
      </c>
      <c r="I44" s="3" t="s">
        <v>256</v>
      </c>
      <c r="J44" s="3" t="s">
        <v>327</v>
      </c>
      <c r="K44" s="3">
        <v>3</v>
      </c>
      <c r="L44" s="3">
        <v>1945</v>
      </c>
      <c r="M44" s="3">
        <v>40</v>
      </c>
      <c r="N44" s="3" t="s">
        <v>397</v>
      </c>
      <c r="O44" s="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3.2" x14ac:dyDescent="0.25">
      <c r="A45" s="8" t="s">
        <v>4</v>
      </c>
      <c r="B45" s="81" t="s">
        <v>255</v>
      </c>
      <c r="C45" s="8" t="s">
        <v>398</v>
      </c>
      <c r="D45" s="3">
        <v>1</v>
      </c>
      <c r="E45" s="3">
        <v>40</v>
      </c>
      <c r="F45" s="3">
        <v>4</v>
      </c>
      <c r="G45" s="3" t="s">
        <v>376</v>
      </c>
      <c r="H45" s="3" t="s">
        <v>377</v>
      </c>
      <c r="I45" s="3" t="s">
        <v>399</v>
      </c>
      <c r="J45" s="3" t="s">
        <v>400</v>
      </c>
      <c r="K45" s="3">
        <v>1</v>
      </c>
      <c r="L45" s="3">
        <v>800</v>
      </c>
      <c r="M45" s="3">
        <v>0</v>
      </c>
      <c r="N45" s="3" t="s">
        <v>256</v>
      </c>
      <c r="O45" s="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3.2" x14ac:dyDescent="0.25">
      <c r="A46" s="9" t="s">
        <v>5</v>
      </c>
      <c r="B46" s="81" t="s">
        <v>255</v>
      </c>
      <c r="C46" s="9" t="s">
        <v>401</v>
      </c>
      <c r="D46" s="3">
        <v>5</v>
      </c>
      <c r="E46" s="3">
        <v>54</v>
      </c>
      <c r="F46" s="3">
        <v>6</v>
      </c>
      <c r="G46" s="3" t="s">
        <v>376</v>
      </c>
      <c r="H46" s="3" t="s">
        <v>402</v>
      </c>
      <c r="I46" s="3" t="s">
        <v>403</v>
      </c>
      <c r="J46" s="3" t="s">
        <v>404</v>
      </c>
      <c r="K46" s="3">
        <v>3</v>
      </c>
      <c r="L46" s="3">
        <v>2575</v>
      </c>
      <c r="M46" s="3">
        <v>55</v>
      </c>
      <c r="N46" s="3" t="s">
        <v>405</v>
      </c>
      <c r="O46" s="3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3.2" x14ac:dyDescent="0.25">
      <c r="A47" s="9" t="s">
        <v>5</v>
      </c>
      <c r="B47" s="81" t="s">
        <v>255</v>
      </c>
      <c r="C47" s="9" t="s">
        <v>406</v>
      </c>
      <c r="D47" s="3">
        <v>4</v>
      </c>
      <c r="E47" s="3">
        <v>51</v>
      </c>
      <c r="F47" s="3">
        <v>6</v>
      </c>
      <c r="G47" s="3" t="s">
        <v>376</v>
      </c>
      <c r="H47" s="3" t="s">
        <v>393</v>
      </c>
      <c r="I47" s="3" t="s">
        <v>256</v>
      </c>
      <c r="J47" s="3" t="s">
        <v>404</v>
      </c>
      <c r="K47" s="3">
        <v>3</v>
      </c>
      <c r="L47" s="3">
        <v>2575</v>
      </c>
      <c r="M47" s="3">
        <v>55</v>
      </c>
      <c r="N47" s="3" t="s">
        <v>407</v>
      </c>
      <c r="O47" s="3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3.2" x14ac:dyDescent="0.25">
      <c r="A48" s="9" t="s">
        <v>5</v>
      </c>
      <c r="B48" s="81" t="s">
        <v>255</v>
      </c>
      <c r="C48" s="9" t="s">
        <v>408</v>
      </c>
      <c r="D48" s="3">
        <v>3</v>
      </c>
      <c r="E48" s="3">
        <v>50</v>
      </c>
      <c r="F48" s="3">
        <v>8</v>
      </c>
      <c r="G48" s="3" t="s">
        <v>376</v>
      </c>
      <c r="H48" s="3" t="s">
        <v>409</v>
      </c>
      <c r="I48" s="3" t="s">
        <v>256</v>
      </c>
      <c r="J48" s="3" t="s">
        <v>410</v>
      </c>
      <c r="K48" s="3">
        <v>2</v>
      </c>
      <c r="L48" s="3">
        <v>2575</v>
      </c>
      <c r="M48" s="3">
        <v>55</v>
      </c>
      <c r="N48" s="3" t="s">
        <v>411</v>
      </c>
      <c r="O48" s="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3.2" x14ac:dyDescent="0.25">
      <c r="A49" s="105" t="s">
        <v>6</v>
      </c>
      <c r="B49" s="81" t="s">
        <v>255</v>
      </c>
      <c r="C49" s="105" t="s">
        <v>412</v>
      </c>
      <c r="D49" s="3">
        <v>3</v>
      </c>
      <c r="E49" s="3">
        <v>57</v>
      </c>
      <c r="F49" s="3">
        <v>6</v>
      </c>
      <c r="G49" s="3" t="s">
        <v>376</v>
      </c>
      <c r="H49" s="3" t="s">
        <v>412</v>
      </c>
      <c r="I49" s="3" t="s">
        <v>256</v>
      </c>
      <c r="J49" s="3" t="s">
        <v>413</v>
      </c>
      <c r="K49" s="3">
        <v>1</v>
      </c>
      <c r="L49" s="3">
        <v>14804</v>
      </c>
      <c r="M49" s="3">
        <v>90</v>
      </c>
      <c r="N49" s="3" t="s">
        <v>414</v>
      </c>
      <c r="O49" s="3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3.2" x14ac:dyDescent="0.25">
      <c r="A50" s="105" t="s">
        <v>6</v>
      </c>
      <c r="B50" s="81" t="s">
        <v>255</v>
      </c>
      <c r="C50" s="105" t="s">
        <v>415</v>
      </c>
      <c r="D50" s="3">
        <v>5</v>
      </c>
      <c r="E50" s="3">
        <v>59</v>
      </c>
      <c r="F50" s="3">
        <v>6</v>
      </c>
      <c r="G50" s="3" t="s">
        <v>376</v>
      </c>
      <c r="H50" s="3" t="s">
        <v>402</v>
      </c>
      <c r="I50" s="3" t="s">
        <v>348</v>
      </c>
      <c r="J50" s="3" t="s">
        <v>413</v>
      </c>
      <c r="K50" s="3">
        <v>1</v>
      </c>
      <c r="L50" s="3">
        <v>7400</v>
      </c>
      <c r="M50" s="3">
        <v>80</v>
      </c>
      <c r="N50" s="3" t="s">
        <v>416</v>
      </c>
      <c r="O50" s="3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3.2" x14ac:dyDescent="0.25">
      <c r="A51" s="105" t="s">
        <v>6</v>
      </c>
      <c r="B51" s="81" t="s">
        <v>255</v>
      </c>
      <c r="C51" s="105" t="s">
        <v>417</v>
      </c>
      <c r="D51" s="3">
        <v>1</v>
      </c>
      <c r="E51" s="3">
        <v>45</v>
      </c>
      <c r="F51" s="3">
        <v>4</v>
      </c>
      <c r="G51" s="3" t="s">
        <v>376</v>
      </c>
      <c r="H51" s="3" t="s">
        <v>384</v>
      </c>
      <c r="I51" s="3" t="s">
        <v>418</v>
      </c>
      <c r="J51" s="3" t="s">
        <v>374</v>
      </c>
      <c r="K51" s="3">
        <v>0</v>
      </c>
      <c r="L51" s="3">
        <v>0</v>
      </c>
      <c r="M51" s="3">
        <v>0</v>
      </c>
      <c r="N51" s="3" t="s">
        <v>256</v>
      </c>
      <c r="O51" s="3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3.2" x14ac:dyDescent="0.25">
      <c r="A52" s="105" t="s">
        <v>6</v>
      </c>
      <c r="B52" s="81" t="s">
        <v>255</v>
      </c>
      <c r="C52" s="105" t="s">
        <v>419</v>
      </c>
      <c r="D52" s="3">
        <v>5</v>
      </c>
      <c r="E52" s="3">
        <v>62</v>
      </c>
      <c r="F52" s="3">
        <v>0</v>
      </c>
      <c r="G52" s="3" t="s">
        <v>376</v>
      </c>
      <c r="H52" s="3" t="s">
        <v>402</v>
      </c>
      <c r="I52" s="3" t="s">
        <v>420</v>
      </c>
      <c r="J52" s="3" t="s">
        <v>421</v>
      </c>
      <c r="K52" s="3">
        <v>1</v>
      </c>
      <c r="L52" s="3">
        <v>7400</v>
      </c>
      <c r="M52" s="3">
        <v>80</v>
      </c>
      <c r="N52" s="3" t="s">
        <v>422</v>
      </c>
      <c r="O52" s="3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3.2" x14ac:dyDescent="0.25">
      <c r="A53" s="105" t="s">
        <v>6</v>
      </c>
      <c r="B53" s="81" t="s">
        <v>255</v>
      </c>
      <c r="C53" s="105" t="s">
        <v>423</v>
      </c>
      <c r="D53" s="3">
        <v>3</v>
      </c>
      <c r="E53" s="3">
        <v>55</v>
      </c>
      <c r="F53" s="3" t="s">
        <v>424</v>
      </c>
      <c r="G53" s="3" t="s">
        <v>376</v>
      </c>
      <c r="H53" s="3" t="s">
        <v>409</v>
      </c>
      <c r="I53" s="3" t="s">
        <v>312</v>
      </c>
      <c r="J53" s="3" t="s">
        <v>425</v>
      </c>
      <c r="K53" s="3">
        <v>1</v>
      </c>
      <c r="L53" s="3">
        <v>7400</v>
      </c>
      <c r="M53" s="3">
        <v>80</v>
      </c>
      <c r="N53" s="3" t="s">
        <v>426</v>
      </c>
      <c r="O53" s="3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3.2" x14ac:dyDescent="0.25">
      <c r="A54" s="9" t="s">
        <v>5</v>
      </c>
      <c r="B54" s="81" t="s">
        <v>255</v>
      </c>
      <c r="C54" s="9" t="s">
        <v>427</v>
      </c>
      <c r="D54" s="3">
        <v>14</v>
      </c>
      <c r="E54" s="3">
        <v>51</v>
      </c>
      <c r="F54" s="3">
        <v>0</v>
      </c>
      <c r="G54" s="3" t="s">
        <v>428</v>
      </c>
      <c r="H54" s="3" t="s">
        <v>429</v>
      </c>
      <c r="I54" s="3" t="s">
        <v>256</v>
      </c>
      <c r="J54" s="3" t="s">
        <v>430</v>
      </c>
      <c r="K54" s="3">
        <v>1</v>
      </c>
      <c r="L54" s="3">
        <v>2575</v>
      </c>
      <c r="M54" s="3">
        <v>55</v>
      </c>
      <c r="N54" s="3" t="s">
        <v>431</v>
      </c>
      <c r="O54" s="3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3.2" x14ac:dyDescent="0.25">
      <c r="A55" s="105" t="s">
        <v>6</v>
      </c>
      <c r="B55" s="81" t="s">
        <v>255</v>
      </c>
      <c r="C55" s="105" t="s">
        <v>432</v>
      </c>
      <c r="D55" s="3">
        <v>14</v>
      </c>
      <c r="E55" s="3">
        <v>62</v>
      </c>
      <c r="F55" s="3">
        <v>0</v>
      </c>
      <c r="G55" s="3" t="s">
        <v>428</v>
      </c>
      <c r="H55" s="3" t="s">
        <v>433</v>
      </c>
      <c r="I55" s="3" t="s">
        <v>256</v>
      </c>
      <c r="J55" s="3" t="s">
        <v>434</v>
      </c>
      <c r="K55" s="3">
        <v>1</v>
      </c>
      <c r="L55" s="3">
        <v>3700</v>
      </c>
      <c r="M55" s="3">
        <v>70</v>
      </c>
      <c r="N55" s="3" t="s">
        <v>435</v>
      </c>
      <c r="O55" s="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3.2" x14ac:dyDescent="0.25">
      <c r="A56" s="105" t="s">
        <v>6</v>
      </c>
      <c r="B56" s="81" t="s">
        <v>255</v>
      </c>
      <c r="C56" s="105" t="s">
        <v>436</v>
      </c>
      <c r="D56" s="3">
        <v>16</v>
      </c>
      <c r="E56" s="3">
        <v>55</v>
      </c>
      <c r="F56" s="3">
        <v>0</v>
      </c>
      <c r="G56" s="3" t="s">
        <v>428</v>
      </c>
      <c r="H56" s="3" t="s">
        <v>429</v>
      </c>
      <c r="I56" s="3" t="s">
        <v>256</v>
      </c>
      <c r="J56" s="3" t="s">
        <v>437</v>
      </c>
      <c r="K56" s="3">
        <v>1</v>
      </c>
      <c r="L56" s="3">
        <v>7400</v>
      </c>
      <c r="M56" s="3">
        <v>80</v>
      </c>
      <c r="N56" s="3" t="s">
        <v>438</v>
      </c>
      <c r="O56" s="3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3.2" x14ac:dyDescent="0.25">
      <c r="A57" s="105" t="s">
        <v>6</v>
      </c>
      <c r="B57" s="81" t="s">
        <v>255</v>
      </c>
      <c r="C57" s="105" t="s">
        <v>439</v>
      </c>
      <c r="D57" s="3">
        <v>20</v>
      </c>
      <c r="E57" s="3">
        <v>63</v>
      </c>
      <c r="F57" s="3">
        <v>0</v>
      </c>
      <c r="G57" s="3" t="s">
        <v>428</v>
      </c>
      <c r="H57" s="3" t="s">
        <v>440</v>
      </c>
      <c r="I57" s="3" t="s">
        <v>256</v>
      </c>
      <c r="J57" s="3" t="s">
        <v>441</v>
      </c>
      <c r="K57" s="3">
        <v>2</v>
      </c>
      <c r="L57" s="3">
        <v>14805</v>
      </c>
      <c r="M57" s="3">
        <v>90</v>
      </c>
      <c r="N57" s="3" t="s">
        <v>442</v>
      </c>
      <c r="O57" s="3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3.2" x14ac:dyDescent="0.25">
      <c r="A58" s="105" t="s">
        <v>6</v>
      </c>
      <c r="B58" s="81" t="s">
        <v>255</v>
      </c>
      <c r="C58" s="105" t="s">
        <v>443</v>
      </c>
      <c r="D58" s="3">
        <v>14</v>
      </c>
      <c r="E58" s="3">
        <v>80</v>
      </c>
      <c r="F58" s="3">
        <v>0</v>
      </c>
      <c r="G58" s="3" t="s">
        <v>428</v>
      </c>
      <c r="H58" s="3" t="s">
        <v>433</v>
      </c>
      <c r="I58" s="3" t="s">
        <v>444</v>
      </c>
      <c r="J58" s="3" t="s">
        <v>445</v>
      </c>
      <c r="K58" s="3">
        <v>1</v>
      </c>
      <c r="L58" s="3">
        <v>14805</v>
      </c>
      <c r="M58" s="3">
        <v>90</v>
      </c>
      <c r="N58" s="3" t="s">
        <v>446</v>
      </c>
      <c r="O58" s="3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3.2" x14ac:dyDescent="0.25">
      <c r="A59" s="105" t="s">
        <v>6</v>
      </c>
      <c r="B59" s="81" t="s">
        <v>255</v>
      </c>
      <c r="C59" s="105" t="s">
        <v>447</v>
      </c>
      <c r="D59" s="3">
        <v>16</v>
      </c>
      <c r="E59" s="3">
        <v>57</v>
      </c>
      <c r="F59" s="3">
        <v>0</v>
      </c>
      <c r="G59" s="3" t="s">
        <v>428</v>
      </c>
      <c r="H59" s="3" t="s">
        <v>448</v>
      </c>
      <c r="I59" s="3" t="s">
        <v>256</v>
      </c>
      <c r="J59" s="3" t="s">
        <v>437</v>
      </c>
      <c r="K59" s="3">
        <v>2</v>
      </c>
      <c r="L59" s="3">
        <v>7400</v>
      </c>
      <c r="M59" s="3">
        <v>80</v>
      </c>
      <c r="N59" s="3" t="s">
        <v>449</v>
      </c>
      <c r="O59" s="3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3.2" x14ac:dyDescent="0.25">
      <c r="A60" s="105" t="s">
        <v>6</v>
      </c>
      <c r="B60" s="81" t="s">
        <v>255</v>
      </c>
      <c r="C60" s="105" t="s">
        <v>450</v>
      </c>
      <c r="D60" s="3">
        <v>14</v>
      </c>
      <c r="E60" s="3">
        <v>100</v>
      </c>
      <c r="F60" s="3">
        <v>0</v>
      </c>
      <c r="G60" s="3" t="s">
        <v>428</v>
      </c>
      <c r="H60" s="3" t="s">
        <v>433</v>
      </c>
      <c r="I60" s="3" t="s">
        <v>444</v>
      </c>
      <c r="J60" s="3" t="s">
        <v>451</v>
      </c>
      <c r="K60" s="3">
        <v>2</v>
      </c>
      <c r="L60" s="3">
        <v>22205</v>
      </c>
      <c r="M60" s="3">
        <v>100</v>
      </c>
      <c r="N60" s="3" t="s">
        <v>452</v>
      </c>
      <c r="O60" s="3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3.2" x14ac:dyDescent="0.25">
      <c r="A61" s="5" t="s">
        <v>1</v>
      </c>
      <c r="B61" s="3" t="s">
        <v>21</v>
      </c>
      <c r="C61" s="5" t="s">
        <v>23</v>
      </c>
      <c r="D61" s="3">
        <v>1</v>
      </c>
      <c r="E61" s="3">
        <v>21</v>
      </c>
      <c r="F61" s="3">
        <v>6</v>
      </c>
      <c r="G61" s="3" t="s">
        <v>272</v>
      </c>
      <c r="H61" s="34" t="s">
        <v>283</v>
      </c>
      <c r="I61" s="3" t="s">
        <v>453</v>
      </c>
      <c r="J61" s="3" t="s">
        <v>284</v>
      </c>
      <c r="K61" s="3">
        <v>1</v>
      </c>
      <c r="L61" s="3">
        <v>90</v>
      </c>
      <c r="M61" s="3">
        <v>1</v>
      </c>
      <c r="N61" s="3" t="s">
        <v>289</v>
      </c>
      <c r="O61" s="3" t="s">
        <v>282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3.2" x14ac:dyDescent="0.25">
      <c r="A62" s="5" t="s">
        <v>1</v>
      </c>
      <c r="B62" s="3" t="s">
        <v>48</v>
      </c>
      <c r="C62" s="5" t="s">
        <v>51</v>
      </c>
      <c r="D62" s="3">
        <v>1</v>
      </c>
      <c r="E62" s="3">
        <v>23</v>
      </c>
      <c r="F62" s="3">
        <v>4</v>
      </c>
      <c r="G62" s="3" t="s">
        <v>376</v>
      </c>
      <c r="H62" s="3" t="s">
        <v>377</v>
      </c>
      <c r="I62" s="3" t="s">
        <v>381</v>
      </c>
      <c r="J62" s="3" t="s">
        <v>379</v>
      </c>
      <c r="K62" s="3">
        <v>1</v>
      </c>
      <c r="L62" s="3">
        <v>90</v>
      </c>
      <c r="M62" s="3">
        <v>1</v>
      </c>
      <c r="N62" s="3" t="s">
        <v>256</v>
      </c>
      <c r="O62" s="3" t="s">
        <v>375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3.2" x14ac:dyDescent="0.25">
      <c r="A63" s="5" t="s">
        <v>1</v>
      </c>
      <c r="B63" s="3" t="s">
        <v>33</v>
      </c>
      <c r="C63" s="5" t="s">
        <v>36</v>
      </c>
      <c r="D63" s="3">
        <v>1</v>
      </c>
      <c r="E63" s="3">
        <v>23</v>
      </c>
      <c r="F63" s="3">
        <v>6</v>
      </c>
      <c r="G63" s="3" t="s">
        <v>272</v>
      </c>
      <c r="H63" s="38" t="s">
        <v>280</v>
      </c>
      <c r="I63" s="3" t="s">
        <v>337</v>
      </c>
      <c r="J63" s="3" t="s">
        <v>281</v>
      </c>
      <c r="K63" s="3">
        <v>1</v>
      </c>
      <c r="L63" s="3">
        <v>180</v>
      </c>
      <c r="M63" s="3">
        <v>3</v>
      </c>
      <c r="N63" s="3" t="s">
        <v>454</v>
      </c>
      <c r="O63" s="3" t="s">
        <v>279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3.2" x14ac:dyDescent="0.25">
      <c r="A64" s="5" t="s">
        <v>1</v>
      </c>
      <c r="B64" s="3" t="s">
        <v>44</v>
      </c>
      <c r="C64" s="5" t="s">
        <v>47</v>
      </c>
      <c r="D64" s="3">
        <v>3</v>
      </c>
      <c r="E64" s="3">
        <v>19</v>
      </c>
      <c r="F64" s="3">
        <v>4</v>
      </c>
      <c r="G64" s="3" t="s">
        <v>272</v>
      </c>
      <c r="H64" s="33" t="s">
        <v>276</v>
      </c>
      <c r="I64" s="3" t="s">
        <v>455</v>
      </c>
      <c r="J64" s="3" t="s">
        <v>278</v>
      </c>
      <c r="K64" s="3">
        <v>1</v>
      </c>
      <c r="L64" s="3">
        <v>90</v>
      </c>
      <c r="M64" s="3">
        <v>1</v>
      </c>
      <c r="N64" s="3" t="s">
        <v>256</v>
      </c>
      <c r="O64" s="3" t="s">
        <v>275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3.2" x14ac:dyDescent="0.25">
      <c r="A65" s="5" t="s">
        <v>1</v>
      </c>
      <c r="B65" s="3" t="s">
        <v>27</v>
      </c>
      <c r="C65" s="5" t="s">
        <v>29</v>
      </c>
      <c r="D65" s="3">
        <v>3</v>
      </c>
      <c r="E65" s="3">
        <v>24</v>
      </c>
      <c r="F65" s="3">
        <v>6</v>
      </c>
      <c r="G65" s="3" t="s">
        <v>272</v>
      </c>
      <c r="H65" s="33" t="s">
        <v>276</v>
      </c>
      <c r="I65" s="3" t="s">
        <v>333</v>
      </c>
      <c r="J65" s="3" t="s">
        <v>281</v>
      </c>
      <c r="K65" s="3">
        <v>1</v>
      </c>
      <c r="L65" s="3">
        <v>180</v>
      </c>
      <c r="M65" s="3">
        <v>3</v>
      </c>
      <c r="N65" s="3" t="s">
        <v>289</v>
      </c>
      <c r="O65" s="3" t="s">
        <v>279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3.2" x14ac:dyDescent="0.25">
      <c r="A66" s="5" t="s">
        <v>1</v>
      </c>
      <c r="B66" s="3" t="s">
        <v>37</v>
      </c>
      <c r="C66" s="5" t="s">
        <v>40</v>
      </c>
      <c r="D66" s="3">
        <v>1</v>
      </c>
      <c r="E66" s="3">
        <v>21</v>
      </c>
      <c r="F66" s="3">
        <v>4</v>
      </c>
      <c r="G66" s="3" t="s">
        <v>272</v>
      </c>
      <c r="H66" s="35" t="s">
        <v>287</v>
      </c>
      <c r="I66" s="3" t="s">
        <v>456</v>
      </c>
      <c r="J66" s="3" t="s">
        <v>295</v>
      </c>
      <c r="K66" s="3">
        <v>1</v>
      </c>
      <c r="L66" s="3">
        <v>180</v>
      </c>
      <c r="M66" s="3">
        <v>3</v>
      </c>
      <c r="N66" s="3" t="s">
        <v>256</v>
      </c>
      <c r="O66" s="3" t="s">
        <v>294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3.2" x14ac:dyDescent="0.25">
      <c r="A67" s="5" t="s">
        <v>1</v>
      </c>
      <c r="B67" s="3" t="s">
        <v>30</v>
      </c>
      <c r="C67" s="5" t="s">
        <v>32</v>
      </c>
      <c r="D67" s="3">
        <v>1</v>
      </c>
      <c r="E67" s="3">
        <v>14</v>
      </c>
      <c r="F67" s="3">
        <v>5</v>
      </c>
      <c r="G67" s="3" t="s">
        <v>272</v>
      </c>
      <c r="H67" s="35" t="s">
        <v>287</v>
      </c>
      <c r="I67" s="3" t="s">
        <v>288</v>
      </c>
      <c r="J67" s="3" t="s">
        <v>256</v>
      </c>
      <c r="K67" s="3">
        <v>1</v>
      </c>
      <c r="L67" s="3">
        <v>45</v>
      </c>
      <c r="M67" s="3">
        <v>0</v>
      </c>
      <c r="N67" s="3" t="s">
        <v>256</v>
      </c>
      <c r="O67" s="3" t="s">
        <v>286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3.2" x14ac:dyDescent="0.25">
      <c r="A68" s="5" t="s">
        <v>1</v>
      </c>
      <c r="B68" s="3" t="s">
        <v>24</v>
      </c>
      <c r="C68" s="5" t="s">
        <v>26</v>
      </c>
      <c r="D68" s="3">
        <v>1</v>
      </c>
      <c r="E68" s="3">
        <v>22</v>
      </c>
      <c r="F68" s="3">
        <v>4</v>
      </c>
      <c r="G68" s="3" t="s">
        <v>272</v>
      </c>
      <c r="H68" s="36" t="s">
        <v>291</v>
      </c>
      <c r="I68" s="3" t="s">
        <v>457</v>
      </c>
      <c r="J68" s="3" t="s">
        <v>292</v>
      </c>
      <c r="K68" s="3">
        <v>1</v>
      </c>
      <c r="L68" s="3">
        <v>180</v>
      </c>
      <c r="M68" s="3">
        <v>3</v>
      </c>
      <c r="N68" s="3" t="s">
        <v>293</v>
      </c>
      <c r="O68" s="3" t="s">
        <v>290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3.2" x14ac:dyDescent="0.25">
      <c r="A69" s="5" t="s">
        <v>1</v>
      </c>
      <c r="B69" s="3" t="s">
        <v>41</v>
      </c>
      <c r="C69" s="5" t="s">
        <v>43</v>
      </c>
      <c r="D69" s="3">
        <v>3</v>
      </c>
      <c r="E69" s="3">
        <v>19</v>
      </c>
      <c r="F69" s="3">
        <v>4</v>
      </c>
      <c r="G69" s="3" t="s">
        <v>272</v>
      </c>
      <c r="H69" s="33" t="s">
        <v>276</v>
      </c>
      <c r="I69" s="3" t="s">
        <v>458</v>
      </c>
      <c r="J69" s="3" t="s">
        <v>278</v>
      </c>
      <c r="K69" s="3">
        <v>1</v>
      </c>
      <c r="L69" s="3">
        <v>90</v>
      </c>
      <c r="M69" s="3">
        <v>1</v>
      </c>
      <c r="N69" s="3" t="s">
        <v>256</v>
      </c>
      <c r="O69" s="3" t="s">
        <v>275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3.2" x14ac:dyDescent="0.25">
      <c r="A70" s="5" t="s">
        <v>1</v>
      </c>
      <c r="B70" s="3" t="s">
        <v>52</v>
      </c>
      <c r="C70" s="5" t="s">
        <v>55</v>
      </c>
      <c r="D70" s="3">
        <v>1</v>
      </c>
      <c r="E70" s="3">
        <v>23</v>
      </c>
      <c r="F70" s="3">
        <v>6</v>
      </c>
      <c r="G70" s="3" t="s">
        <v>272</v>
      </c>
      <c r="H70" s="38" t="s">
        <v>280</v>
      </c>
      <c r="I70" s="3" t="s">
        <v>459</v>
      </c>
      <c r="J70" s="3" t="s">
        <v>281</v>
      </c>
      <c r="K70" s="3">
        <v>1</v>
      </c>
      <c r="L70" s="3">
        <v>180</v>
      </c>
      <c r="M70" s="3">
        <v>3</v>
      </c>
      <c r="N70" s="3" t="s">
        <v>454</v>
      </c>
      <c r="O70" s="3" t="s">
        <v>279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3.2" x14ac:dyDescent="0.25">
      <c r="A71" s="6" t="s">
        <v>2</v>
      </c>
      <c r="B71" s="3" t="s">
        <v>68</v>
      </c>
      <c r="C71" s="6" t="s">
        <v>71</v>
      </c>
      <c r="D71" s="3">
        <v>1</v>
      </c>
      <c r="E71" s="3">
        <v>25</v>
      </c>
      <c r="F71" s="3">
        <v>6</v>
      </c>
      <c r="G71" s="3" t="s">
        <v>272</v>
      </c>
      <c r="H71" s="35" t="s">
        <v>287</v>
      </c>
      <c r="I71" s="3" t="s">
        <v>460</v>
      </c>
      <c r="J71" s="3" t="s">
        <v>300</v>
      </c>
      <c r="K71" s="3">
        <v>1</v>
      </c>
      <c r="L71" s="3">
        <v>80</v>
      </c>
      <c r="M71" s="3">
        <v>5</v>
      </c>
      <c r="N71" s="3" t="s">
        <v>256</v>
      </c>
      <c r="O71" s="3" t="s">
        <v>256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3.2" x14ac:dyDescent="0.25">
      <c r="A72" s="6" t="s">
        <v>2</v>
      </c>
      <c r="B72" s="3" t="s">
        <v>72</v>
      </c>
      <c r="C72" s="6" t="s">
        <v>75</v>
      </c>
      <c r="D72" s="3">
        <v>1</v>
      </c>
      <c r="E72" s="3">
        <v>29</v>
      </c>
      <c r="F72" s="3">
        <v>6</v>
      </c>
      <c r="G72" s="3" t="s">
        <v>272</v>
      </c>
      <c r="H72" s="38" t="s">
        <v>280</v>
      </c>
      <c r="I72" s="3" t="s">
        <v>461</v>
      </c>
      <c r="J72" s="3" t="s">
        <v>297</v>
      </c>
      <c r="K72" s="3">
        <v>1</v>
      </c>
      <c r="L72" s="3">
        <v>180</v>
      </c>
      <c r="M72" s="3">
        <v>5</v>
      </c>
      <c r="N72" s="3" t="s">
        <v>462</v>
      </c>
      <c r="O72" s="3" t="s">
        <v>256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3.2" x14ac:dyDescent="0.25">
      <c r="A73" s="6" t="s">
        <v>2</v>
      </c>
      <c r="B73" s="3" t="s">
        <v>76</v>
      </c>
      <c r="C73" s="6" t="s">
        <v>79</v>
      </c>
      <c r="D73" s="3">
        <v>1</v>
      </c>
      <c r="E73" s="3">
        <v>27</v>
      </c>
      <c r="F73" s="3">
        <v>4</v>
      </c>
      <c r="G73" s="3" t="s">
        <v>272</v>
      </c>
      <c r="H73" s="36" t="s">
        <v>291</v>
      </c>
      <c r="I73" s="3" t="s">
        <v>463</v>
      </c>
      <c r="J73" s="3" t="s">
        <v>300</v>
      </c>
      <c r="K73" s="3">
        <v>1</v>
      </c>
      <c r="L73" s="3">
        <v>180</v>
      </c>
      <c r="M73" s="3">
        <v>8</v>
      </c>
      <c r="N73" s="3" t="s">
        <v>293</v>
      </c>
      <c r="O73" s="3" t="s">
        <v>256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3.2" x14ac:dyDescent="0.25">
      <c r="A74" s="6" t="s">
        <v>2</v>
      </c>
      <c r="B74" s="3" t="s">
        <v>80</v>
      </c>
      <c r="C74" s="6" t="s">
        <v>83</v>
      </c>
      <c r="D74" s="3">
        <v>1</v>
      </c>
      <c r="E74" s="3">
        <v>22</v>
      </c>
      <c r="F74" s="3">
        <v>6</v>
      </c>
      <c r="G74" s="3" t="s">
        <v>272</v>
      </c>
      <c r="H74" s="3" t="s">
        <v>273</v>
      </c>
      <c r="I74" s="3" t="s">
        <v>464</v>
      </c>
      <c r="J74" s="3" t="s">
        <v>256</v>
      </c>
      <c r="K74" s="3">
        <v>1</v>
      </c>
      <c r="L74" s="3">
        <v>160</v>
      </c>
      <c r="M74" s="3">
        <v>8</v>
      </c>
      <c r="N74" s="3" t="s">
        <v>289</v>
      </c>
      <c r="O74" s="3" t="s">
        <v>256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3.2" x14ac:dyDescent="0.25">
      <c r="A75" s="6" t="s">
        <v>2</v>
      </c>
      <c r="B75" s="3" t="s">
        <v>56</v>
      </c>
      <c r="C75" s="6" t="s">
        <v>59</v>
      </c>
      <c r="D75" s="3">
        <v>1</v>
      </c>
      <c r="E75" s="3">
        <v>28</v>
      </c>
      <c r="F75" s="3">
        <v>4</v>
      </c>
      <c r="G75" s="3" t="s">
        <v>272</v>
      </c>
      <c r="H75" s="36" t="s">
        <v>291</v>
      </c>
      <c r="I75" s="3" t="s">
        <v>465</v>
      </c>
      <c r="J75" s="3" t="s">
        <v>300</v>
      </c>
      <c r="K75" s="3">
        <v>1</v>
      </c>
      <c r="L75" s="3">
        <v>160</v>
      </c>
      <c r="M75" s="3">
        <v>8</v>
      </c>
      <c r="N75" s="3" t="s">
        <v>293</v>
      </c>
      <c r="O75" s="3" t="s">
        <v>256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3.2" x14ac:dyDescent="0.25">
      <c r="A76" s="6" t="s">
        <v>2</v>
      </c>
      <c r="B76" s="3" t="s">
        <v>88</v>
      </c>
      <c r="C76" s="6" t="s">
        <v>91</v>
      </c>
      <c r="D76" s="3">
        <v>3</v>
      </c>
      <c r="E76" s="3">
        <v>25</v>
      </c>
      <c r="F76" s="3">
        <v>4</v>
      </c>
      <c r="G76" s="3" t="s">
        <v>272</v>
      </c>
      <c r="H76" s="33" t="s">
        <v>276</v>
      </c>
      <c r="I76" s="3" t="s">
        <v>466</v>
      </c>
      <c r="J76" s="3" t="s">
        <v>300</v>
      </c>
      <c r="K76" s="3">
        <v>1</v>
      </c>
      <c r="L76" s="3">
        <v>90</v>
      </c>
      <c r="M76" s="3">
        <v>5</v>
      </c>
      <c r="N76" s="3" t="s">
        <v>256</v>
      </c>
      <c r="O76" s="3" t="s">
        <v>256</v>
      </c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3.2" x14ac:dyDescent="0.25">
      <c r="A77" s="6" t="s">
        <v>2</v>
      </c>
      <c r="B77" s="3" t="s">
        <v>92</v>
      </c>
      <c r="C77" s="6" t="s">
        <v>95</v>
      </c>
      <c r="D77" s="3">
        <v>1</v>
      </c>
      <c r="E77" s="3">
        <v>30</v>
      </c>
      <c r="F77" s="3">
        <v>4</v>
      </c>
      <c r="G77" s="3" t="s">
        <v>272</v>
      </c>
      <c r="H77" s="35" t="s">
        <v>287</v>
      </c>
      <c r="I77" s="3" t="s">
        <v>467</v>
      </c>
      <c r="J77" s="3" t="s">
        <v>468</v>
      </c>
      <c r="K77" s="3">
        <v>1</v>
      </c>
      <c r="L77" s="3">
        <v>180</v>
      </c>
      <c r="M77" s="3">
        <v>8</v>
      </c>
      <c r="N77" s="3" t="s">
        <v>301</v>
      </c>
      <c r="O77" s="3" t="s">
        <v>256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3.2" x14ac:dyDescent="0.25">
      <c r="A78" s="6" t="s">
        <v>2</v>
      </c>
      <c r="B78" s="3" t="s">
        <v>84</v>
      </c>
      <c r="C78" s="6" t="s">
        <v>87</v>
      </c>
      <c r="D78" s="3">
        <v>3</v>
      </c>
      <c r="E78" s="3">
        <v>30</v>
      </c>
      <c r="F78" s="3">
        <v>6</v>
      </c>
      <c r="G78" s="3" t="s">
        <v>272</v>
      </c>
      <c r="H78" s="33" t="s">
        <v>276</v>
      </c>
      <c r="I78" s="3" t="s">
        <v>469</v>
      </c>
      <c r="J78" s="3" t="s">
        <v>297</v>
      </c>
      <c r="K78" s="3">
        <v>2</v>
      </c>
      <c r="L78" s="3">
        <v>325</v>
      </c>
      <c r="M78" s="3">
        <v>10</v>
      </c>
      <c r="N78" s="3" t="s">
        <v>256</v>
      </c>
      <c r="O78" s="3" t="s">
        <v>256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3.2" x14ac:dyDescent="0.25">
      <c r="A79" s="6" t="s">
        <v>2</v>
      </c>
      <c r="B79" s="3" t="s">
        <v>60</v>
      </c>
      <c r="C79" s="6" t="s">
        <v>63</v>
      </c>
      <c r="D79" s="3">
        <v>1</v>
      </c>
      <c r="E79" s="3">
        <v>27</v>
      </c>
      <c r="F79" s="3">
        <v>4</v>
      </c>
      <c r="G79" s="3" t="s">
        <v>272</v>
      </c>
      <c r="H79" s="35" t="s">
        <v>287</v>
      </c>
      <c r="I79" s="3" t="s">
        <v>470</v>
      </c>
      <c r="J79" s="3" t="s">
        <v>300</v>
      </c>
      <c r="K79" s="3">
        <v>1</v>
      </c>
      <c r="L79" s="3">
        <v>80</v>
      </c>
      <c r="M79" s="3">
        <v>5</v>
      </c>
      <c r="N79" s="3" t="s">
        <v>301</v>
      </c>
      <c r="O79" s="3" t="s">
        <v>299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3.2" x14ac:dyDescent="0.25">
      <c r="A80" s="6" t="s">
        <v>2</v>
      </c>
      <c r="B80" s="3" t="s">
        <v>64</v>
      </c>
      <c r="C80" s="6" t="s">
        <v>67</v>
      </c>
      <c r="D80" s="3">
        <v>1</v>
      </c>
      <c r="E80" s="3">
        <v>31</v>
      </c>
      <c r="F80" s="3">
        <v>6</v>
      </c>
      <c r="G80" s="3" t="s">
        <v>272</v>
      </c>
      <c r="H80" s="38" t="s">
        <v>280</v>
      </c>
      <c r="I80" s="3" t="s">
        <v>471</v>
      </c>
      <c r="J80" s="3" t="s">
        <v>297</v>
      </c>
      <c r="K80" s="3">
        <v>2</v>
      </c>
      <c r="L80" s="3">
        <v>360</v>
      </c>
      <c r="M80" s="3">
        <v>10</v>
      </c>
      <c r="N80" s="3" t="s">
        <v>472</v>
      </c>
      <c r="O80" s="3" t="s">
        <v>256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3.2" x14ac:dyDescent="0.25">
      <c r="A81" s="7" t="s">
        <v>3</v>
      </c>
      <c r="B81" s="3" t="s">
        <v>116</v>
      </c>
      <c r="C81" s="7" t="s">
        <v>119</v>
      </c>
      <c r="D81" s="3">
        <v>3</v>
      </c>
      <c r="E81" s="3">
        <v>42</v>
      </c>
      <c r="F81" s="3">
        <v>6</v>
      </c>
      <c r="G81" s="3" t="s">
        <v>272</v>
      </c>
      <c r="H81" s="33" t="s">
        <v>276</v>
      </c>
      <c r="I81" s="3" t="s">
        <v>333</v>
      </c>
      <c r="J81" s="3" t="s">
        <v>473</v>
      </c>
      <c r="K81" s="3">
        <v>2</v>
      </c>
      <c r="L81" s="3">
        <v>800</v>
      </c>
      <c r="M81" s="3">
        <v>25</v>
      </c>
      <c r="N81" s="3" t="s">
        <v>256</v>
      </c>
      <c r="O81" s="3" t="s">
        <v>256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3.2" x14ac:dyDescent="0.25">
      <c r="A82" s="7" t="s">
        <v>3</v>
      </c>
      <c r="B82" s="3" t="s">
        <v>108</v>
      </c>
      <c r="C82" s="7" t="s">
        <v>111</v>
      </c>
      <c r="D82" s="3">
        <v>1</v>
      </c>
      <c r="E82" s="3">
        <v>39</v>
      </c>
      <c r="F82" s="3">
        <v>6</v>
      </c>
      <c r="G82" s="3" t="s">
        <v>272</v>
      </c>
      <c r="H82" s="38" t="s">
        <v>280</v>
      </c>
      <c r="I82" s="3" t="s">
        <v>474</v>
      </c>
      <c r="J82" s="3" t="s">
        <v>308</v>
      </c>
      <c r="K82" s="3">
        <v>1</v>
      </c>
      <c r="L82" s="3">
        <v>340</v>
      </c>
      <c r="M82" s="3">
        <v>20</v>
      </c>
      <c r="N82" s="3" t="s">
        <v>309</v>
      </c>
      <c r="O82" s="3" t="s">
        <v>475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3.2" x14ac:dyDescent="0.25">
      <c r="A83" s="7" t="s">
        <v>3</v>
      </c>
      <c r="B83" s="3" t="s">
        <v>132</v>
      </c>
      <c r="C83" s="7" t="s">
        <v>135</v>
      </c>
      <c r="D83" s="3">
        <v>1</v>
      </c>
      <c r="E83" s="3">
        <v>36</v>
      </c>
      <c r="F83" s="3">
        <v>6</v>
      </c>
      <c r="G83" s="3" t="s">
        <v>272</v>
      </c>
      <c r="H83" s="34" t="s">
        <v>283</v>
      </c>
      <c r="I83" s="3" t="s">
        <v>476</v>
      </c>
      <c r="J83" s="3" t="s">
        <v>256</v>
      </c>
      <c r="K83" s="3">
        <v>1</v>
      </c>
      <c r="L83" s="3">
        <v>400</v>
      </c>
      <c r="M83" s="3">
        <v>20</v>
      </c>
      <c r="N83" s="3" t="s">
        <v>477</v>
      </c>
      <c r="O83" s="3" t="s">
        <v>256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3.2" x14ac:dyDescent="0.25">
      <c r="A84" s="7" t="s">
        <v>3</v>
      </c>
      <c r="B84" s="3" t="s">
        <v>96</v>
      </c>
      <c r="C84" s="7" t="s">
        <v>99</v>
      </c>
      <c r="D84" s="3">
        <v>1</v>
      </c>
      <c r="E84" s="3">
        <v>33</v>
      </c>
      <c r="F84" s="3">
        <v>4</v>
      </c>
      <c r="G84" s="3" t="s">
        <v>272</v>
      </c>
      <c r="H84" s="35" t="s">
        <v>287</v>
      </c>
      <c r="I84" s="3" t="s">
        <v>460</v>
      </c>
      <c r="J84" s="3" t="s">
        <v>305</v>
      </c>
      <c r="K84" s="3">
        <v>1</v>
      </c>
      <c r="L84" s="3">
        <v>200</v>
      </c>
      <c r="M84" s="3">
        <v>15</v>
      </c>
      <c r="N84" s="3" t="s">
        <v>256</v>
      </c>
      <c r="O84" s="3" t="s">
        <v>256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3.2" x14ac:dyDescent="0.25">
      <c r="A85" s="7" t="s">
        <v>3</v>
      </c>
      <c r="B85" s="3" t="s">
        <v>124</v>
      </c>
      <c r="C85" s="7" t="s">
        <v>127</v>
      </c>
      <c r="D85" s="3">
        <v>1</v>
      </c>
      <c r="E85" s="3">
        <v>23</v>
      </c>
      <c r="F85" s="3">
        <v>3</v>
      </c>
      <c r="G85" s="3" t="s">
        <v>376</v>
      </c>
      <c r="H85" s="3" t="s">
        <v>384</v>
      </c>
      <c r="I85" s="3" t="s">
        <v>390</v>
      </c>
      <c r="J85" s="3" t="s">
        <v>388</v>
      </c>
      <c r="K85" s="3">
        <v>0</v>
      </c>
      <c r="L85" s="3">
        <v>0</v>
      </c>
      <c r="M85" s="3">
        <v>0</v>
      </c>
      <c r="N85" s="3" t="s">
        <v>256</v>
      </c>
      <c r="O85" s="3" t="s">
        <v>256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3.2" x14ac:dyDescent="0.25">
      <c r="A86" s="7" t="s">
        <v>3</v>
      </c>
      <c r="B86" s="3" t="s">
        <v>104</v>
      </c>
      <c r="C86" s="7" t="s">
        <v>107</v>
      </c>
      <c r="D86" s="3">
        <v>4</v>
      </c>
      <c r="E86" s="3">
        <v>32</v>
      </c>
      <c r="F86" s="3">
        <v>4</v>
      </c>
      <c r="G86" s="3" t="s">
        <v>272</v>
      </c>
      <c r="H86" s="33" t="s">
        <v>276</v>
      </c>
      <c r="I86" s="3" t="s">
        <v>277</v>
      </c>
      <c r="J86" s="3" t="s">
        <v>303</v>
      </c>
      <c r="K86" s="3">
        <v>1</v>
      </c>
      <c r="L86" s="3">
        <v>200</v>
      </c>
      <c r="M86" s="3">
        <v>15</v>
      </c>
      <c r="N86" s="3" t="s">
        <v>256</v>
      </c>
      <c r="O86" s="3" t="s">
        <v>302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3.2" x14ac:dyDescent="0.25">
      <c r="A87" s="7" t="s">
        <v>3</v>
      </c>
      <c r="B87" s="3" t="s">
        <v>112</v>
      </c>
      <c r="C87" s="7" t="s">
        <v>115</v>
      </c>
      <c r="D87" s="3">
        <v>1</v>
      </c>
      <c r="E87" s="3">
        <v>35</v>
      </c>
      <c r="F87" s="3">
        <v>6</v>
      </c>
      <c r="G87" s="3" t="s">
        <v>272</v>
      </c>
      <c r="H87" s="34" t="s">
        <v>283</v>
      </c>
      <c r="I87" s="3" t="s">
        <v>478</v>
      </c>
      <c r="J87" s="3" t="s">
        <v>308</v>
      </c>
      <c r="K87" s="3">
        <v>1</v>
      </c>
      <c r="L87" s="3">
        <v>340</v>
      </c>
      <c r="M87" s="3">
        <v>20</v>
      </c>
      <c r="N87" s="3" t="s">
        <v>256</v>
      </c>
      <c r="O87" s="3" t="s">
        <v>256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3.2" x14ac:dyDescent="0.25">
      <c r="A88" s="7" t="s">
        <v>3</v>
      </c>
      <c r="B88" s="3" t="s">
        <v>120</v>
      </c>
      <c r="C88" s="7" t="s">
        <v>479</v>
      </c>
      <c r="D88" s="3">
        <v>1</v>
      </c>
      <c r="E88" s="3">
        <v>29</v>
      </c>
      <c r="F88" s="3">
        <v>6</v>
      </c>
      <c r="G88" s="3" t="s">
        <v>272</v>
      </c>
      <c r="H88" s="3" t="s">
        <v>273</v>
      </c>
      <c r="I88" s="3" t="s">
        <v>464</v>
      </c>
      <c r="J88" s="3" t="s">
        <v>256</v>
      </c>
      <c r="K88" s="3">
        <v>1</v>
      </c>
      <c r="L88" s="3">
        <v>340</v>
      </c>
      <c r="M88" s="3">
        <v>20</v>
      </c>
      <c r="N88" s="3" t="s">
        <v>289</v>
      </c>
      <c r="O88" s="3" t="s">
        <v>256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3.2" x14ac:dyDescent="0.25">
      <c r="A89" s="7" t="s">
        <v>3</v>
      </c>
      <c r="B89" s="3" t="s">
        <v>128</v>
      </c>
      <c r="C89" s="7" t="s">
        <v>131</v>
      </c>
      <c r="D89" s="3">
        <v>1</v>
      </c>
      <c r="E89" s="3">
        <v>39</v>
      </c>
      <c r="F89" s="3">
        <v>6</v>
      </c>
      <c r="G89" s="3" t="s">
        <v>272</v>
      </c>
      <c r="H89" s="38" t="s">
        <v>280</v>
      </c>
      <c r="I89" s="3" t="s">
        <v>480</v>
      </c>
      <c r="J89" s="3" t="s">
        <v>308</v>
      </c>
      <c r="K89" s="3">
        <v>1</v>
      </c>
      <c r="L89" s="3">
        <v>340</v>
      </c>
      <c r="M89" s="3">
        <v>20</v>
      </c>
      <c r="N89" s="3" t="s">
        <v>309</v>
      </c>
      <c r="O89" s="3" t="s">
        <v>307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3.2" x14ac:dyDescent="0.25">
      <c r="A90" s="7" t="s">
        <v>3</v>
      </c>
      <c r="B90" s="3" t="s">
        <v>100</v>
      </c>
      <c r="C90" s="7" t="s">
        <v>103</v>
      </c>
      <c r="D90" s="3">
        <v>1</v>
      </c>
      <c r="E90" s="3">
        <v>43</v>
      </c>
      <c r="F90" s="3">
        <v>4</v>
      </c>
      <c r="G90" s="3" t="s">
        <v>272</v>
      </c>
      <c r="H90" s="35" t="s">
        <v>287</v>
      </c>
      <c r="I90" s="3" t="s">
        <v>481</v>
      </c>
      <c r="J90" s="3" t="s">
        <v>305</v>
      </c>
      <c r="K90" s="3">
        <v>2</v>
      </c>
      <c r="L90" s="3">
        <v>400</v>
      </c>
      <c r="M90" s="3">
        <v>20</v>
      </c>
      <c r="N90" s="3" t="s">
        <v>306</v>
      </c>
      <c r="O90" s="3" t="s">
        <v>304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3.2" x14ac:dyDescent="0.25">
      <c r="A91" s="8" t="s">
        <v>4</v>
      </c>
      <c r="B91" s="3" t="s">
        <v>168</v>
      </c>
      <c r="C91" s="8" t="s">
        <v>171</v>
      </c>
      <c r="D91" s="3">
        <v>4</v>
      </c>
      <c r="E91" s="3">
        <v>43</v>
      </c>
      <c r="F91" s="3">
        <v>5</v>
      </c>
      <c r="G91" s="3" t="s">
        <v>272</v>
      </c>
      <c r="H91" s="37" t="s">
        <v>315</v>
      </c>
      <c r="I91" s="3" t="s">
        <v>482</v>
      </c>
      <c r="J91" s="3" t="s">
        <v>317</v>
      </c>
      <c r="K91" s="3">
        <v>1</v>
      </c>
      <c r="L91" s="3">
        <v>800</v>
      </c>
      <c r="M91" s="3">
        <v>35</v>
      </c>
      <c r="N91" s="3" t="s">
        <v>318</v>
      </c>
      <c r="O91" s="3" t="s">
        <v>256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3.2" x14ac:dyDescent="0.25">
      <c r="A92" s="8" t="s">
        <v>4</v>
      </c>
      <c r="B92" s="3" t="s">
        <v>136</v>
      </c>
      <c r="C92" s="8" t="s">
        <v>139</v>
      </c>
      <c r="D92" s="3">
        <v>1</v>
      </c>
      <c r="E92" s="3">
        <v>31</v>
      </c>
      <c r="F92" s="3">
        <v>4</v>
      </c>
      <c r="G92" s="3" t="s">
        <v>376</v>
      </c>
      <c r="H92" s="3" t="s">
        <v>384</v>
      </c>
      <c r="I92" s="3" t="s">
        <v>483</v>
      </c>
      <c r="J92" s="3" t="s">
        <v>331</v>
      </c>
      <c r="K92" s="3">
        <v>0</v>
      </c>
      <c r="L92" s="3">
        <v>0</v>
      </c>
      <c r="M92" s="3">
        <v>0</v>
      </c>
      <c r="N92" s="3" t="s">
        <v>256</v>
      </c>
      <c r="O92" s="3" t="s">
        <v>389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3.2" x14ac:dyDescent="0.25">
      <c r="A93" s="8" t="s">
        <v>4</v>
      </c>
      <c r="B93" s="3" t="s">
        <v>156</v>
      </c>
      <c r="C93" s="8" t="s">
        <v>159</v>
      </c>
      <c r="D93" s="3">
        <v>4</v>
      </c>
      <c r="E93" s="3">
        <v>49</v>
      </c>
      <c r="F93" s="3">
        <v>6</v>
      </c>
      <c r="G93" s="3" t="s">
        <v>272</v>
      </c>
      <c r="H93" s="37" t="s">
        <v>315</v>
      </c>
      <c r="I93" s="3" t="s">
        <v>333</v>
      </c>
      <c r="J93" s="3" t="s">
        <v>324</v>
      </c>
      <c r="K93" s="3">
        <v>1</v>
      </c>
      <c r="L93" s="3">
        <v>1600</v>
      </c>
      <c r="M93" s="3">
        <v>40</v>
      </c>
      <c r="N93" s="3" t="s">
        <v>325</v>
      </c>
      <c r="O93" s="3" t="s">
        <v>256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3.2" x14ac:dyDescent="0.25">
      <c r="A94" s="8" t="s">
        <v>4</v>
      </c>
      <c r="B94" s="3" t="s">
        <v>172</v>
      </c>
      <c r="C94" s="8" t="s">
        <v>175</v>
      </c>
      <c r="D94" s="3">
        <v>4</v>
      </c>
      <c r="E94" s="3">
        <v>39</v>
      </c>
      <c r="F94" s="3">
        <v>6</v>
      </c>
      <c r="G94" s="3" t="s">
        <v>376</v>
      </c>
      <c r="H94" s="3" t="s">
        <v>393</v>
      </c>
      <c r="I94" s="3" t="s">
        <v>403</v>
      </c>
      <c r="J94" s="3" t="s">
        <v>394</v>
      </c>
      <c r="K94" s="3">
        <v>1</v>
      </c>
      <c r="L94" s="3">
        <v>1600</v>
      </c>
      <c r="M94" s="3">
        <v>35</v>
      </c>
      <c r="N94" s="3" t="s">
        <v>325</v>
      </c>
      <c r="O94" s="3" t="s">
        <v>256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3.2" x14ac:dyDescent="0.25">
      <c r="A95" s="8" t="s">
        <v>4</v>
      </c>
      <c r="B95" s="3" t="s">
        <v>148</v>
      </c>
      <c r="C95" s="8" t="s">
        <v>151</v>
      </c>
      <c r="D95" s="3">
        <v>4</v>
      </c>
      <c r="E95" s="3">
        <v>45</v>
      </c>
      <c r="F95" s="3">
        <v>6</v>
      </c>
      <c r="G95" s="3" t="s">
        <v>376</v>
      </c>
      <c r="H95" s="3" t="s">
        <v>393</v>
      </c>
      <c r="I95" s="3" t="s">
        <v>484</v>
      </c>
      <c r="J95" s="3" t="s">
        <v>394</v>
      </c>
      <c r="K95" s="3">
        <v>2</v>
      </c>
      <c r="L95" s="3">
        <v>1945</v>
      </c>
      <c r="M95" s="3">
        <v>40</v>
      </c>
      <c r="N95" s="3" t="s">
        <v>325</v>
      </c>
      <c r="O95" s="3" t="s">
        <v>256</v>
      </c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3.2" x14ac:dyDescent="0.25">
      <c r="A96" s="8" t="s">
        <v>4</v>
      </c>
      <c r="B96" s="3" t="s">
        <v>160</v>
      </c>
      <c r="C96" s="8" t="s">
        <v>163</v>
      </c>
      <c r="D96" s="3">
        <v>4</v>
      </c>
      <c r="E96" s="3">
        <v>44</v>
      </c>
      <c r="F96" s="3">
        <v>4</v>
      </c>
      <c r="G96" s="3" t="s">
        <v>272</v>
      </c>
      <c r="H96" s="37" t="s">
        <v>315</v>
      </c>
      <c r="I96" s="3" t="s">
        <v>485</v>
      </c>
      <c r="J96" s="3" t="s">
        <v>317</v>
      </c>
      <c r="K96" s="3">
        <v>1</v>
      </c>
      <c r="L96" s="3">
        <v>800</v>
      </c>
      <c r="M96" s="3">
        <v>35</v>
      </c>
      <c r="N96" s="3" t="s">
        <v>318</v>
      </c>
      <c r="O96" s="3" t="s">
        <v>256</v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3.2" x14ac:dyDescent="0.25">
      <c r="A97" s="8" t="s">
        <v>4</v>
      </c>
      <c r="B97" s="3" t="s">
        <v>140</v>
      </c>
      <c r="C97" s="8" t="s">
        <v>143</v>
      </c>
      <c r="D97" s="3">
        <v>1</v>
      </c>
      <c r="E97" s="3">
        <v>46</v>
      </c>
      <c r="F97" s="3">
        <v>5</v>
      </c>
      <c r="G97" s="3" t="s">
        <v>272</v>
      </c>
      <c r="H97" s="36" t="s">
        <v>291</v>
      </c>
      <c r="I97" s="3" t="s">
        <v>481</v>
      </c>
      <c r="J97" s="3" t="s">
        <v>320</v>
      </c>
      <c r="K97" s="3">
        <v>3</v>
      </c>
      <c r="L97" s="3">
        <v>970</v>
      </c>
      <c r="M97" s="3">
        <v>35</v>
      </c>
      <c r="N97" s="3" t="s">
        <v>256</v>
      </c>
      <c r="O97" s="3" t="s">
        <v>319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3.2" x14ac:dyDescent="0.25">
      <c r="A98" s="8" t="s">
        <v>4</v>
      </c>
      <c r="B98" s="3" t="s">
        <v>152</v>
      </c>
      <c r="C98" s="8" t="s">
        <v>155</v>
      </c>
      <c r="D98" s="3">
        <v>8</v>
      </c>
      <c r="E98" s="3">
        <v>45</v>
      </c>
      <c r="F98" s="3">
        <v>4</v>
      </c>
      <c r="G98" s="3" t="s">
        <v>272</v>
      </c>
      <c r="H98" s="3" t="s">
        <v>322</v>
      </c>
      <c r="I98" s="3" t="s">
        <v>337</v>
      </c>
      <c r="J98" s="3" t="s">
        <v>317</v>
      </c>
      <c r="K98" s="3">
        <v>1</v>
      </c>
      <c r="L98" s="3">
        <v>800</v>
      </c>
      <c r="M98" s="3">
        <v>35</v>
      </c>
      <c r="N98" s="3" t="s">
        <v>486</v>
      </c>
      <c r="O98" s="3" t="s">
        <v>256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3.2" x14ac:dyDescent="0.25">
      <c r="A99" s="8" t="s">
        <v>4</v>
      </c>
      <c r="B99" s="3" t="s">
        <v>144</v>
      </c>
      <c r="C99" s="8" t="s">
        <v>147</v>
      </c>
      <c r="D99" s="3">
        <v>4</v>
      </c>
      <c r="E99" s="3">
        <v>41</v>
      </c>
      <c r="F99" s="3">
        <v>6</v>
      </c>
      <c r="G99" s="3" t="s">
        <v>272</v>
      </c>
      <c r="H99" s="37" t="s">
        <v>315</v>
      </c>
      <c r="I99" s="3" t="s">
        <v>312</v>
      </c>
      <c r="J99" s="3" t="s">
        <v>327</v>
      </c>
      <c r="K99" s="3">
        <v>1</v>
      </c>
      <c r="L99" s="3">
        <v>800</v>
      </c>
      <c r="M99" s="3">
        <v>35</v>
      </c>
      <c r="N99" s="3" t="s">
        <v>256</v>
      </c>
      <c r="O99" s="3" t="s">
        <v>256</v>
      </c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3.2" x14ac:dyDescent="0.25">
      <c r="A100" s="8" t="s">
        <v>4</v>
      </c>
      <c r="B100" s="3" t="s">
        <v>164</v>
      </c>
      <c r="C100" s="8" t="s">
        <v>167</v>
      </c>
      <c r="D100" s="3">
        <v>1</v>
      </c>
      <c r="E100" s="3">
        <v>46</v>
      </c>
      <c r="F100" s="3">
        <v>6</v>
      </c>
      <c r="G100" s="3" t="s">
        <v>272</v>
      </c>
      <c r="H100" s="38" t="s">
        <v>280</v>
      </c>
      <c r="I100" s="3" t="s">
        <v>487</v>
      </c>
      <c r="J100" s="3" t="s">
        <v>320</v>
      </c>
      <c r="K100" s="3">
        <v>1</v>
      </c>
      <c r="L100" s="3">
        <v>800</v>
      </c>
      <c r="M100" s="3">
        <v>35</v>
      </c>
      <c r="N100" s="3" t="s">
        <v>309</v>
      </c>
      <c r="O100" s="3" t="s">
        <v>256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3.2" x14ac:dyDescent="0.25">
      <c r="A101" s="9" t="s">
        <v>5</v>
      </c>
      <c r="B101" s="3" t="s">
        <v>192</v>
      </c>
      <c r="C101" s="9" t="s">
        <v>195</v>
      </c>
      <c r="D101" s="3">
        <v>4</v>
      </c>
      <c r="E101" s="3">
        <v>50</v>
      </c>
      <c r="F101" s="3">
        <v>5</v>
      </c>
      <c r="G101" s="3" t="s">
        <v>272</v>
      </c>
      <c r="H101" s="37" t="s">
        <v>315</v>
      </c>
      <c r="I101" s="3" t="s">
        <v>488</v>
      </c>
      <c r="J101" s="3" t="s">
        <v>344</v>
      </c>
      <c r="K101" s="3">
        <v>3</v>
      </c>
      <c r="L101" s="3">
        <v>2575</v>
      </c>
      <c r="M101" s="3">
        <v>55</v>
      </c>
      <c r="N101" s="3" t="s">
        <v>256</v>
      </c>
      <c r="O101" s="3" t="s">
        <v>343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3.2" x14ac:dyDescent="0.25">
      <c r="A102" s="9" t="s">
        <v>5</v>
      </c>
      <c r="B102" s="3" t="s">
        <v>204</v>
      </c>
      <c r="C102" s="9" t="s">
        <v>207</v>
      </c>
      <c r="D102" s="3">
        <v>4</v>
      </c>
      <c r="E102" s="3">
        <v>44</v>
      </c>
      <c r="F102" s="3">
        <v>6</v>
      </c>
      <c r="G102" s="3" t="s">
        <v>272</v>
      </c>
      <c r="H102" s="37" t="s">
        <v>315</v>
      </c>
      <c r="I102" s="3" t="s">
        <v>464</v>
      </c>
      <c r="J102" s="3" t="s">
        <v>334</v>
      </c>
      <c r="K102" s="3">
        <v>1</v>
      </c>
      <c r="L102" s="3">
        <v>2040</v>
      </c>
      <c r="M102" s="3">
        <v>55</v>
      </c>
      <c r="N102" s="3" t="s">
        <v>335</v>
      </c>
      <c r="O102" s="3" t="s">
        <v>332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3.2" x14ac:dyDescent="0.25">
      <c r="A103" s="9" t="s">
        <v>5</v>
      </c>
      <c r="B103" s="3" t="s">
        <v>184</v>
      </c>
      <c r="C103" s="9" t="s">
        <v>187</v>
      </c>
      <c r="D103" s="3">
        <v>1</v>
      </c>
      <c r="E103" s="3">
        <v>54</v>
      </c>
      <c r="F103" s="3">
        <v>6</v>
      </c>
      <c r="G103" s="3" t="s">
        <v>272</v>
      </c>
      <c r="H103" s="38" t="s">
        <v>280</v>
      </c>
      <c r="I103" s="3" t="s">
        <v>489</v>
      </c>
      <c r="J103" s="3" t="s">
        <v>344</v>
      </c>
      <c r="K103" s="3">
        <v>3</v>
      </c>
      <c r="L103" s="3">
        <v>5155</v>
      </c>
      <c r="M103" s="3">
        <v>60</v>
      </c>
      <c r="N103" s="3" t="s">
        <v>490</v>
      </c>
      <c r="O103" s="3" t="s">
        <v>256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3.2" x14ac:dyDescent="0.25">
      <c r="A104" s="9" t="s">
        <v>5</v>
      </c>
      <c r="B104" s="3" t="s">
        <v>176</v>
      </c>
      <c r="C104" s="9" t="s">
        <v>179</v>
      </c>
      <c r="D104" s="3">
        <v>4</v>
      </c>
      <c r="E104" s="3">
        <v>52</v>
      </c>
      <c r="F104" s="3">
        <v>4</v>
      </c>
      <c r="G104" s="3" t="s">
        <v>272</v>
      </c>
      <c r="H104" s="37" t="s">
        <v>315</v>
      </c>
      <c r="I104" s="3" t="s">
        <v>491</v>
      </c>
      <c r="J104" s="3" t="s">
        <v>346</v>
      </c>
      <c r="K104" s="3">
        <v>1</v>
      </c>
      <c r="L104" s="3">
        <v>4080</v>
      </c>
      <c r="M104" s="3">
        <v>60</v>
      </c>
      <c r="N104" s="3" t="s">
        <v>256</v>
      </c>
      <c r="O104" s="3" t="s">
        <v>345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3.2" x14ac:dyDescent="0.25">
      <c r="A105" s="9" t="s">
        <v>5</v>
      </c>
      <c r="B105" s="3" t="s">
        <v>208</v>
      </c>
      <c r="C105" s="9" t="s">
        <v>211</v>
      </c>
      <c r="D105" s="3">
        <v>4</v>
      </c>
      <c r="E105" s="3">
        <v>55</v>
      </c>
      <c r="F105" s="3">
        <v>6</v>
      </c>
      <c r="G105" s="3" t="s">
        <v>272</v>
      </c>
      <c r="H105" s="37" t="s">
        <v>315</v>
      </c>
      <c r="I105" s="3" t="s">
        <v>337</v>
      </c>
      <c r="J105" s="3" t="s">
        <v>338</v>
      </c>
      <c r="K105" s="3">
        <v>2</v>
      </c>
      <c r="L105" s="3">
        <v>5155</v>
      </c>
      <c r="M105" s="3">
        <v>60</v>
      </c>
      <c r="N105" s="3" t="s">
        <v>256</v>
      </c>
      <c r="O105" s="3" t="s">
        <v>336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3.2" x14ac:dyDescent="0.25">
      <c r="A106" s="9" t="s">
        <v>5</v>
      </c>
      <c r="B106" s="3" t="s">
        <v>212</v>
      </c>
      <c r="C106" s="9" t="s">
        <v>215</v>
      </c>
      <c r="D106" s="3">
        <v>1</v>
      </c>
      <c r="E106" s="3">
        <v>45</v>
      </c>
      <c r="F106" s="3">
        <v>4</v>
      </c>
      <c r="G106" s="3" t="s">
        <v>272</v>
      </c>
      <c r="H106" s="35" t="s">
        <v>287</v>
      </c>
      <c r="I106" s="3" t="s">
        <v>492</v>
      </c>
      <c r="J106" s="3" t="s">
        <v>256</v>
      </c>
      <c r="K106" s="3">
        <v>2</v>
      </c>
      <c r="L106" s="3">
        <v>1290</v>
      </c>
      <c r="M106" s="3">
        <v>50</v>
      </c>
      <c r="N106" s="3" t="s">
        <v>256</v>
      </c>
      <c r="O106" s="3" t="s">
        <v>256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3.2" x14ac:dyDescent="0.25">
      <c r="A107" s="9" t="s">
        <v>5</v>
      </c>
      <c r="B107" s="3" t="s">
        <v>200</v>
      </c>
      <c r="C107" s="9" t="s">
        <v>203</v>
      </c>
      <c r="D107" s="3">
        <v>5</v>
      </c>
      <c r="E107" s="3">
        <v>46</v>
      </c>
      <c r="F107" s="3">
        <v>4</v>
      </c>
      <c r="G107" s="3" t="s">
        <v>272</v>
      </c>
      <c r="H107" s="37" t="s">
        <v>315</v>
      </c>
      <c r="I107" s="3" t="s">
        <v>493</v>
      </c>
      <c r="J107" s="3" t="s">
        <v>341</v>
      </c>
      <c r="K107" s="3">
        <v>1</v>
      </c>
      <c r="L107" s="3">
        <v>2040</v>
      </c>
      <c r="M107" s="3">
        <v>55</v>
      </c>
      <c r="N107" s="3" t="s">
        <v>256</v>
      </c>
      <c r="O107" s="3" t="s">
        <v>256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3.2" x14ac:dyDescent="0.25">
      <c r="A108" s="9" t="s">
        <v>5</v>
      </c>
      <c r="B108" s="3" t="s">
        <v>180</v>
      </c>
      <c r="C108" s="9" t="s">
        <v>183</v>
      </c>
      <c r="D108" s="3">
        <v>4</v>
      </c>
      <c r="E108" s="3">
        <v>51</v>
      </c>
      <c r="F108" s="3">
        <v>4</v>
      </c>
      <c r="G108" s="3" t="s">
        <v>272</v>
      </c>
      <c r="H108" s="37" t="s">
        <v>315</v>
      </c>
      <c r="I108" s="3" t="s">
        <v>494</v>
      </c>
      <c r="J108" s="3" t="s">
        <v>344</v>
      </c>
      <c r="K108" s="3">
        <v>1</v>
      </c>
      <c r="L108" s="3">
        <v>2040</v>
      </c>
      <c r="M108" s="3">
        <v>55</v>
      </c>
      <c r="N108" s="3" t="s">
        <v>256</v>
      </c>
      <c r="O108" s="3" t="s">
        <v>343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3.2" x14ac:dyDescent="0.25">
      <c r="A109" s="9" t="s">
        <v>5</v>
      </c>
      <c r="B109" s="3" t="s">
        <v>196</v>
      </c>
      <c r="C109" s="9" t="s">
        <v>199</v>
      </c>
      <c r="D109" s="3">
        <v>4</v>
      </c>
      <c r="E109" s="3">
        <v>49</v>
      </c>
      <c r="F109" s="3">
        <v>4</v>
      </c>
      <c r="G109" s="3" t="s">
        <v>272</v>
      </c>
      <c r="H109" s="37" t="s">
        <v>315</v>
      </c>
      <c r="I109" s="3" t="s">
        <v>495</v>
      </c>
      <c r="J109" s="3" t="s">
        <v>346</v>
      </c>
      <c r="K109" s="3">
        <v>1</v>
      </c>
      <c r="L109" s="3">
        <v>2040</v>
      </c>
      <c r="M109" s="3">
        <v>55</v>
      </c>
      <c r="N109" s="3" t="s">
        <v>256</v>
      </c>
      <c r="O109" s="3" t="s">
        <v>345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3.2" x14ac:dyDescent="0.25">
      <c r="A110" s="9" t="s">
        <v>5</v>
      </c>
      <c r="B110" s="3" t="s">
        <v>188</v>
      </c>
      <c r="C110" s="9" t="s">
        <v>191</v>
      </c>
      <c r="D110" s="3">
        <v>3</v>
      </c>
      <c r="E110" s="3">
        <v>52</v>
      </c>
      <c r="F110" s="3">
        <v>8</v>
      </c>
      <c r="G110" s="3" t="s">
        <v>376</v>
      </c>
      <c r="H110" s="3" t="s">
        <v>409</v>
      </c>
      <c r="I110" s="3" t="s">
        <v>312</v>
      </c>
      <c r="J110" s="3" t="s">
        <v>410</v>
      </c>
      <c r="K110" s="3">
        <v>2</v>
      </c>
      <c r="L110" s="3">
        <v>2575</v>
      </c>
      <c r="M110" s="3">
        <v>55</v>
      </c>
      <c r="N110" s="3" t="s">
        <v>411</v>
      </c>
      <c r="O110" s="3" t="s">
        <v>408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3.2" x14ac:dyDescent="0.25">
      <c r="A111" s="105" t="s">
        <v>6</v>
      </c>
      <c r="B111" s="3" t="s">
        <v>219</v>
      </c>
      <c r="C111" s="105" t="s">
        <v>222</v>
      </c>
      <c r="D111" s="3">
        <v>4</v>
      </c>
      <c r="E111" s="3">
        <v>64</v>
      </c>
      <c r="F111" s="3">
        <v>8</v>
      </c>
      <c r="G111" s="3" t="s">
        <v>272</v>
      </c>
      <c r="H111" s="3" t="s">
        <v>351</v>
      </c>
      <c r="I111" s="3" t="s">
        <v>496</v>
      </c>
      <c r="J111" s="3" t="s">
        <v>358</v>
      </c>
      <c r="K111" s="3">
        <v>2</v>
      </c>
      <c r="L111" s="3">
        <v>7400</v>
      </c>
      <c r="M111" s="3">
        <v>70</v>
      </c>
      <c r="N111" s="3" t="s">
        <v>359</v>
      </c>
      <c r="O111" s="3" t="s">
        <v>497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3.2" x14ac:dyDescent="0.25">
      <c r="A112" s="105" t="s">
        <v>6</v>
      </c>
      <c r="B112" s="3" t="s">
        <v>231</v>
      </c>
      <c r="C112" s="105" t="s">
        <v>234</v>
      </c>
      <c r="D112" s="3">
        <v>4</v>
      </c>
      <c r="E112" s="3">
        <v>58</v>
      </c>
      <c r="F112" s="3">
        <v>4</v>
      </c>
      <c r="G112" s="3" t="s">
        <v>272</v>
      </c>
      <c r="H112" s="37" t="s">
        <v>315</v>
      </c>
      <c r="I112" s="3" t="s">
        <v>498</v>
      </c>
      <c r="J112" s="3" t="s">
        <v>367</v>
      </c>
      <c r="K112" s="3">
        <v>3</v>
      </c>
      <c r="L112" s="3">
        <v>3700</v>
      </c>
      <c r="M112" s="3">
        <v>70</v>
      </c>
      <c r="N112" s="3" t="s">
        <v>256</v>
      </c>
      <c r="O112" s="3" t="s">
        <v>256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3.2" x14ac:dyDescent="0.25">
      <c r="A113" s="105" t="s">
        <v>6</v>
      </c>
      <c r="B113" s="3" t="s">
        <v>227</v>
      </c>
      <c r="C113" s="105" t="s">
        <v>230</v>
      </c>
      <c r="D113" s="3">
        <v>8</v>
      </c>
      <c r="E113" s="3">
        <v>60</v>
      </c>
      <c r="F113" s="3">
        <v>4</v>
      </c>
      <c r="G113" s="3" t="s">
        <v>272</v>
      </c>
      <c r="H113" s="3" t="s">
        <v>322</v>
      </c>
      <c r="I113" s="3" t="s">
        <v>499</v>
      </c>
      <c r="J113" s="3" t="s">
        <v>421</v>
      </c>
      <c r="K113" s="3">
        <v>2</v>
      </c>
      <c r="L113" s="3">
        <v>7400</v>
      </c>
      <c r="M113" s="3">
        <v>80</v>
      </c>
      <c r="N113" s="3" t="s">
        <v>500</v>
      </c>
      <c r="O113" s="3" t="s">
        <v>256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3.2" x14ac:dyDescent="0.25">
      <c r="A114" s="105" t="s">
        <v>6</v>
      </c>
      <c r="B114" s="3" t="s">
        <v>223</v>
      </c>
      <c r="C114" s="105" t="s">
        <v>501</v>
      </c>
      <c r="D114" s="3">
        <v>4</v>
      </c>
      <c r="E114" s="3">
        <v>57</v>
      </c>
      <c r="F114" s="3">
        <v>4</v>
      </c>
      <c r="G114" s="3" t="s">
        <v>272</v>
      </c>
      <c r="H114" s="37" t="s">
        <v>315</v>
      </c>
      <c r="I114" s="3" t="s">
        <v>502</v>
      </c>
      <c r="J114" s="3" t="s">
        <v>361</v>
      </c>
      <c r="K114" s="3">
        <v>3</v>
      </c>
      <c r="L114" s="3">
        <v>3700</v>
      </c>
      <c r="M114" s="3">
        <v>70</v>
      </c>
      <c r="N114" s="3" t="s">
        <v>256</v>
      </c>
      <c r="O114" s="3" t="s">
        <v>360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3.2" x14ac:dyDescent="0.25">
      <c r="A115" s="105" t="s">
        <v>6</v>
      </c>
      <c r="B115" s="3" t="s">
        <v>216</v>
      </c>
      <c r="C115" s="105" t="s">
        <v>503</v>
      </c>
      <c r="D115" s="3">
        <v>20</v>
      </c>
      <c r="E115" s="3">
        <v>66</v>
      </c>
      <c r="F115" s="3">
        <v>0</v>
      </c>
      <c r="G115" s="3" t="s">
        <v>428</v>
      </c>
      <c r="H115" s="3" t="s">
        <v>440</v>
      </c>
      <c r="I115" s="3" t="s">
        <v>504</v>
      </c>
      <c r="J115" s="3" t="s">
        <v>441</v>
      </c>
      <c r="K115" s="3">
        <v>2</v>
      </c>
      <c r="L115" s="3">
        <v>14805</v>
      </c>
      <c r="M115" s="3">
        <v>90</v>
      </c>
      <c r="N115" s="3" t="s">
        <v>442</v>
      </c>
      <c r="O115" s="3" t="s">
        <v>439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3.2" x14ac:dyDescent="0.25">
      <c r="A116" s="105" t="s">
        <v>6</v>
      </c>
      <c r="B116" s="3" t="s">
        <v>235</v>
      </c>
      <c r="C116" s="105" t="s">
        <v>238</v>
      </c>
      <c r="D116" s="3">
        <v>4</v>
      </c>
      <c r="E116" s="3">
        <v>57</v>
      </c>
      <c r="F116" s="3">
        <v>4</v>
      </c>
      <c r="G116" s="3" t="s">
        <v>272</v>
      </c>
      <c r="H116" s="37" t="s">
        <v>315</v>
      </c>
      <c r="I116" s="3" t="s">
        <v>505</v>
      </c>
      <c r="J116" s="3" t="s">
        <v>367</v>
      </c>
      <c r="K116" s="3">
        <v>3</v>
      </c>
      <c r="L116" s="3">
        <v>3700</v>
      </c>
      <c r="M116" s="3">
        <v>70</v>
      </c>
      <c r="N116" s="3" t="s">
        <v>256</v>
      </c>
      <c r="O116" s="3" t="s">
        <v>256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3.2" x14ac:dyDescent="0.25">
      <c r="A117" s="105" t="s">
        <v>6</v>
      </c>
      <c r="B117" s="3" t="s">
        <v>242</v>
      </c>
      <c r="C117" s="105" t="s">
        <v>245</v>
      </c>
      <c r="D117" s="3">
        <v>4</v>
      </c>
      <c r="E117" s="3">
        <v>60</v>
      </c>
      <c r="F117" s="3">
        <v>8</v>
      </c>
      <c r="G117" s="3" t="s">
        <v>272</v>
      </c>
      <c r="H117" s="3" t="s">
        <v>351</v>
      </c>
      <c r="I117" s="3" t="s">
        <v>506</v>
      </c>
      <c r="J117" s="3" t="s">
        <v>356</v>
      </c>
      <c r="K117" s="3">
        <v>2</v>
      </c>
      <c r="L117" s="3">
        <v>3700</v>
      </c>
      <c r="M117" s="3">
        <v>70</v>
      </c>
      <c r="N117" s="3" t="s">
        <v>372</v>
      </c>
      <c r="O117" s="3" t="s">
        <v>256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3.2" x14ac:dyDescent="0.25">
      <c r="A118" s="105" t="s">
        <v>6</v>
      </c>
      <c r="B118" s="3" t="s">
        <v>239</v>
      </c>
      <c r="C118" s="105" t="s">
        <v>241</v>
      </c>
      <c r="D118" s="3">
        <v>18</v>
      </c>
      <c r="E118" s="3">
        <v>60</v>
      </c>
      <c r="F118" s="3">
        <v>0</v>
      </c>
      <c r="G118" s="3" t="s">
        <v>428</v>
      </c>
      <c r="H118" s="3" t="s">
        <v>429</v>
      </c>
      <c r="I118" s="3" t="s">
        <v>507</v>
      </c>
      <c r="J118" s="3" t="s">
        <v>437</v>
      </c>
      <c r="K118" s="3">
        <v>1</v>
      </c>
      <c r="L118" s="3">
        <v>3700</v>
      </c>
      <c r="M118" s="3">
        <v>15</v>
      </c>
      <c r="N118" s="3" t="s">
        <v>508</v>
      </c>
      <c r="O118" s="3" t="s">
        <v>436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3.2" x14ac:dyDescent="0.25">
      <c r="A119" s="105" t="s">
        <v>6</v>
      </c>
      <c r="B119" s="3" t="s">
        <v>246</v>
      </c>
      <c r="C119" s="105" t="s">
        <v>249</v>
      </c>
      <c r="D119" s="3">
        <v>5</v>
      </c>
      <c r="E119" s="3">
        <v>56</v>
      </c>
      <c r="F119" s="3">
        <v>6</v>
      </c>
      <c r="G119" s="3" t="s">
        <v>376</v>
      </c>
      <c r="H119" s="3" t="s">
        <v>402</v>
      </c>
      <c r="I119" s="3" t="s">
        <v>312</v>
      </c>
      <c r="J119" s="3" t="s">
        <v>509</v>
      </c>
      <c r="K119" s="3">
        <v>1</v>
      </c>
      <c r="L119" s="3">
        <v>3700</v>
      </c>
      <c r="M119" s="3">
        <v>70</v>
      </c>
      <c r="N119" s="3" t="s">
        <v>256</v>
      </c>
      <c r="O119" s="3" t="s">
        <v>256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3.2" x14ac:dyDescent="0.25">
      <c r="A120" s="105" t="s">
        <v>6</v>
      </c>
      <c r="B120" s="3" t="s">
        <v>250</v>
      </c>
      <c r="C120" s="105" t="s">
        <v>253</v>
      </c>
      <c r="D120" s="3">
        <v>30</v>
      </c>
      <c r="E120" s="3">
        <v>70</v>
      </c>
      <c r="F120" s="3">
        <v>0</v>
      </c>
      <c r="G120" s="3" t="s">
        <v>428</v>
      </c>
      <c r="H120" s="3" t="s">
        <v>433</v>
      </c>
      <c r="I120" s="3" t="s">
        <v>504</v>
      </c>
      <c r="J120" s="3" t="s">
        <v>441</v>
      </c>
      <c r="K120" s="3">
        <v>1</v>
      </c>
      <c r="L120" s="3">
        <v>14805</v>
      </c>
      <c r="M120" s="3">
        <v>90</v>
      </c>
      <c r="N120" s="3" t="s">
        <v>435</v>
      </c>
      <c r="O120" s="3" t="s">
        <v>256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3.2" x14ac:dyDescent="0.25">
      <c r="A121" s="3" t="s">
        <v>254</v>
      </c>
      <c r="B121" s="81" t="s">
        <v>255</v>
      </c>
      <c r="C121" s="3" t="s">
        <v>510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3.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3.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3.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3.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3.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3.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3.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3.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3.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3.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3.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3.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3.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3.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3.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3.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3.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3.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3.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3.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3.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3.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3.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3.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3.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3.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3.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3.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3.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3.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3.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3.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3.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3.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3.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3.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3.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3.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3.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3.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3.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3.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3.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3.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3.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3.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3.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3.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3.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3.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3.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3.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3.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3.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3.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3.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3.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3.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3.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3.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3.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3.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3.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3.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3.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3.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3.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3.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3.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3.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3.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3.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3.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3.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3.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3.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3.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3.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3.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3.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3.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3.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3.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3.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3.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3.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3.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3.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3.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3.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3.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3.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3.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3.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3.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3.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3.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3.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3.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3.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3.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3.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3.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3.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3.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3.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3.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3.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3.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3.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3.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3.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3.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3.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3.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3.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3.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3.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3.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3.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3.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3.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3.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3.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3.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3.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3.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3.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3.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3.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3.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3.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3.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3.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3.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3.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3.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3.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3.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3.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3.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3.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3.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3.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3.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3.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3.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3.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3.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3.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3.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3.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3.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3.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3.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3.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3.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3.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3.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3.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3.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3.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3.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3.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3.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3.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3.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3.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3.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3.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3.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3.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3.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3.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3.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3.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3.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3.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3.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3.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3.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3.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3.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3.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3.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3.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3.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3.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3.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3.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3.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3.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3.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3.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3.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3.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3.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3.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3.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3.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3.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3.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3.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3.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3.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3.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3.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3.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3.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3.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3.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3.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3.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3.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3.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3.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3.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3.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3.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3.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3.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3.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3.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3.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3.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3.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3.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3.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3.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3.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3.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3.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3.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3.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3.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3.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3.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3.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3.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3.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3.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3.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3.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3.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3.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3.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3.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3.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3.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3.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3.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3.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3.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3.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3.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3.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3.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3.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3.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3.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3.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3.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3.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3.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3.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3.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3.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3.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3.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3.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3.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3.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3.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3.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3.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3.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3.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3.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3.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3.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3.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3.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3.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3.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3.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3.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3.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3.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3.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3.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3.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3.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3.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3.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3.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3.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3.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3.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3.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3.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3.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3.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3.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3.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3.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3.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3.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3.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3.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3.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3.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3.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3.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3.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3.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3.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3.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3.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3.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3.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3.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3.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3.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3.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3.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3.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3.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3.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3.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3.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3.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3.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3.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3.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3.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3.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3.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3.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3.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3.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3.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3.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3.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3.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3.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3.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3.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3.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3.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3.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3.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3.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3.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3.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3.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3.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3.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3.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3.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3.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3.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3.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3.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3.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3.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3.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3.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3.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3.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3.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3.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3.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3.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3.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3.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3.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3.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3.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3.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3.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3.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3.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3.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3.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3.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3.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3.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3.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3.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3.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3.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3.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3.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3.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3.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3.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3.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3.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3.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3.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3.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3.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3.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3.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3.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3.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3.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3.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3.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3.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3.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3.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3.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3.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3.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3.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3.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3.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3.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3.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3.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3.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3.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3.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3.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3.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3.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3.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3.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3.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3.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3.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3.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3.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3.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3.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3.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3.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3.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3.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3.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3.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3.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3.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3.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3.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3.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3.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3.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3.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3.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3.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3.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3.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3.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3.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3.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3.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3.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3.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3.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3.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3.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3.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3.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3.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3.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3.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3.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3.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3.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3.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3.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3.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3.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3.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3.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3.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3.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3.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3.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3.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3.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3.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3.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3.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3.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3.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3.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3.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3.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3.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3.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3.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3.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3.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3.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3.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3.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3.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3.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3.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3.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3.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3.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3.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3.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3.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3.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3.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3.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3.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3.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3.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3.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3.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3.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3.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3.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3.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3.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3.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3.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3.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3.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3.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3.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3.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3.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3.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3.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3.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3.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3.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3.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3.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3.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3.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3.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3.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3.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3.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3.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3.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3.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3.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3.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3.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3.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3.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3.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3.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3.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3.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3.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3.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3.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3.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3.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3.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3.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3.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3.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3.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3.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3.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3.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3.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3.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3.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3.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3.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3.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3.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3.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3.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3.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3.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3.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3.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3.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3.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3.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3.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3.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3.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3.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3.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3.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3.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3.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3.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3.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3.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3.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3.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3.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3.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3.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3.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3.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3.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3.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3.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3.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3.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3.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3.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3.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3.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3.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3.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3.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3.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3.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3.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3.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3.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3.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3.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3.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3.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3.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3.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3.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3.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3.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3.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3.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3.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3.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3.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3.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3.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3.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3.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3.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3.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3.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3.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3.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3.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3.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3.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3.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3.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3.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3.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3.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3.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3.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3.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3.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3.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3.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3.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3.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3.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3.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3.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3.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3.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3.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3.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3.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3.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3.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3.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3.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3.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3.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3.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3.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3.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3.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3.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3.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3.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3.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3.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3.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3.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3.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3.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3.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3.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3.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3.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3.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3.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3.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3.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3.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3.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3.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3.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3.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3.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3.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3.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3.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3.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3.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3.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3.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3.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3.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3.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3.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3.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3.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3.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3.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3.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3.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3.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3.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3.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3.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3.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3.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3.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3.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3.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3.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3.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3.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3.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3.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3.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3.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3.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3.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3.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3.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3.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3.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3.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3.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3.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3.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3.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3.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3.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3.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3.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3.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3.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3.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3.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3.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3.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3.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3.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3.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3.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3.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3.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3.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3.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3.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3.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3.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3.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3.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3.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3.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3.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3.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3.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3.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3.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3.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3.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3.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3.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3.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3.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3.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3.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3.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3.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3.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3.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3.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3.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3.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3.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3.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3.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3.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3.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3.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3.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3.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3.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3.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3.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3.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3.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3.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3.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3.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3.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3.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3.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3.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3.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3.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3.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3.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3.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3.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3.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3.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3.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3.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3.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3.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3.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3.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3.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3.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3.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3.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3.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3.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3.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3.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3.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3.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3.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3.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3.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3.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3.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3.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3.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3.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3.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3.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3.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3.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3.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3.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3.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3.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3.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3.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3.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3.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3.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3.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3.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3.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3.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3.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3.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3.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3.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3.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3.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3.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3.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3.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3.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3.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3.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3.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3.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3.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3.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3.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3.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3.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3.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3.2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3.2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3.2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autoFilter ref="A3:AB121" xr:uid="{00000000-0001-0000-0200-000000000000}"/>
  <hyperlinks>
    <hyperlink ref="C1" r:id="rId1" xr:uid="{00000000-0004-0000-0200-000000000000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8DE8E3-5BE1-467C-A684-27DAF06B56DF}">
            <xm:f>Misc!$O$4</xm:f>
            <x14:dxf>
              <font>
                <b/>
                <i val="0"/>
                <color theme="9" tint="-0.24994659260841701"/>
              </font>
            </x14:dxf>
          </x14:cfRule>
          <x14:cfRule type="cellIs" priority="7" operator="equal" id="{622F7A8A-D24B-46DE-9296-F5B4706D3EE9}">
            <xm:f>Misc!$O$3</xm:f>
            <x14:dxf>
              <font>
                <b/>
                <i val="0"/>
                <color theme="7" tint="-0.24994659260841701"/>
              </font>
            </x14:dxf>
          </x14:cfRule>
          <x14:cfRule type="cellIs" priority="8" operator="equal" id="{AABAD83E-090F-4199-8BB5-09DE20C6B585}">
            <xm:f>Misc!$O$5</xm:f>
            <x14:dxf>
              <font>
                <b/>
                <i val="0"/>
                <color theme="6" tint="-0.24994659260841701"/>
              </font>
            </x14:dxf>
          </x14:cfRule>
          <xm:sqref>G4:G121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998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" sqref="C2"/>
    </sheetView>
  </sheetViews>
  <sheetFormatPr baseColWidth="10" defaultColWidth="14.44140625" defaultRowHeight="15.75" customHeight="1" x14ac:dyDescent="0.25"/>
  <cols>
    <col min="1" max="1" width="1.44140625" customWidth="1"/>
    <col min="2" max="2" width="15.6640625" customWidth="1"/>
    <col min="3" max="3" width="12" style="27" customWidth="1"/>
    <col min="4" max="4" width="20" style="27" customWidth="1"/>
    <col min="5" max="5" width="73.77734375" customWidth="1"/>
    <col min="6" max="6" width="20.77734375" customWidth="1"/>
    <col min="7" max="7" width="21.88671875" bestFit="1" customWidth="1"/>
    <col min="8" max="8" width="12" style="115" customWidth="1"/>
    <col min="9" max="9" width="3.44140625" customWidth="1"/>
    <col min="13" max="13" width="12.77734375" customWidth="1"/>
    <col min="15" max="15" width="5.21875" bestFit="1" customWidth="1"/>
    <col min="17" max="17" width="16.44140625" bestFit="1" customWidth="1"/>
    <col min="18" max="18" width="15.77734375" bestFit="1" customWidth="1"/>
    <col min="19" max="19" width="14.109375" bestFit="1" customWidth="1"/>
    <col min="20" max="20" width="18.88671875" bestFit="1" customWidth="1"/>
    <col min="21" max="21" width="11.33203125" bestFit="1" customWidth="1"/>
    <col min="22" max="22" width="16.21875" bestFit="1" customWidth="1"/>
    <col min="23" max="23" width="12.21875" bestFit="1" customWidth="1"/>
    <col min="24" max="24" width="10.88671875" bestFit="1" customWidth="1"/>
    <col min="25" max="25" width="4.88671875" bestFit="1" customWidth="1"/>
  </cols>
  <sheetData>
    <row r="1" spans="1:27" ht="13.2" x14ac:dyDescent="0.25">
      <c r="A1" s="464" t="s">
        <v>710</v>
      </c>
      <c r="B1" s="1" t="s">
        <v>704</v>
      </c>
      <c r="C1" s="26"/>
      <c r="D1" s="24" t="s">
        <v>14</v>
      </c>
      <c r="E1" s="1"/>
      <c r="F1" s="1"/>
      <c r="G1" s="1"/>
      <c r="H1" s="11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9.8" customHeight="1" thickBot="1" x14ac:dyDescent="0.3">
      <c r="B2" s="18"/>
      <c r="C2" s="488" t="s">
        <v>710</v>
      </c>
      <c r="D2" s="25"/>
      <c r="E2" s="18"/>
      <c r="F2" s="18"/>
      <c r="G2" s="18"/>
      <c r="H2" s="452" t="s">
        <v>686</v>
      </c>
      <c r="I2" s="1"/>
      <c r="J2" s="458"/>
      <c r="K2" s="458"/>
      <c r="L2" s="458"/>
      <c r="M2" s="45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16" customFormat="1" ht="19.95" customHeight="1" thickBot="1" x14ac:dyDescent="0.3">
      <c r="B3" s="121" t="s">
        <v>16</v>
      </c>
      <c r="C3" s="122" t="s">
        <v>0</v>
      </c>
      <c r="D3" s="122" t="s">
        <v>17</v>
      </c>
      <c r="E3" s="223" t="s">
        <v>709</v>
      </c>
      <c r="F3" s="123" t="s">
        <v>525</v>
      </c>
      <c r="G3" s="124" t="s">
        <v>526</v>
      </c>
      <c r="H3" s="223" t="s">
        <v>691</v>
      </c>
      <c r="I3" s="15"/>
      <c r="J3" s="15"/>
      <c r="K3" s="15"/>
      <c r="L3" s="15"/>
      <c r="M3" s="15"/>
      <c r="N3" s="45" t="str">
        <f>C3</f>
        <v>Affinity</v>
      </c>
      <c r="O3" s="69" t="s">
        <v>659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3.2" x14ac:dyDescent="0.25">
      <c r="B4" s="127" t="s">
        <v>1</v>
      </c>
      <c r="C4" s="128" t="s">
        <v>10</v>
      </c>
      <c r="D4" s="128" t="s">
        <v>21</v>
      </c>
      <c r="E4" s="129" t="s">
        <v>646</v>
      </c>
      <c r="F4" s="130" t="s">
        <v>22</v>
      </c>
      <c r="G4" s="130" t="s">
        <v>23</v>
      </c>
      <c r="H4" s="131">
        <f t="shared" ref="H4:H35" si="0">COUNTIF(MyBuild,D4)</f>
        <v>3</v>
      </c>
      <c r="I4" s="1"/>
      <c r="J4" s="267"/>
      <c r="K4" s="268"/>
      <c r="L4" s="268"/>
      <c r="M4" s="268"/>
      <c r="N4" s="181" t="str">
        <f t="shared" ref="N4:N64" si="1">C4</f>
        <v>Expansionist</v>
      </c>
      <c r="O4" s="60" t="str">
        <f>LEFT(N4,3)</f>
        <v>Exp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2" x14ac:dyDescent="0.25">
      <c r="A5" s="116"/>
      <c r="B5" s="132" t="s">
        <v>1</v>
      </c>
      <c r="C5" s="89" t="s">
        <v>13</v>
      </c>
      <c r="D5" s="89" t="s">
        <v>24</v>
      </c>
      <c r="E5" s="126" t="s">
        <v>647</v>
      </c>
      <c r="F5" s="118" t="s">
        <v>25</v>
      </c>
      <c r="G5" s="118" t="s">
        <v>26</v>
      </c>
      <c r="H5" s="133">
        <f t="shared" si="0"/>
        <v>2</v>
      </c>
      <c r="I5" s="1"/>
      <c r="J5" s="269"/>
      <c r="K5" s="175"/>
      <c r="L5" s="175"/>
      <c r="M5" s="175"/>
      <c r="N5" s="181" t="str">
        <f t="shared" si="1"/>
        <v>Scientist</v>
      </c>
      <c r="O5" s="60" t="str">
        <f t="shared" ref="O5:O64" si="2">LEFT(N5,3)</f>
        <v>Sci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3.2" x14ac:dyDescent="0.25">
      <c r="B6" s="132" t="s">
        <v>1</v>
      </c>
      <c r="C6" s="89" t="s">
        <v>8</v>
      </c>
      <c r="D6" s="89" t="s">
        <v>27</v>
      </c>
      <c r="E6" s="126" t="s">
        <v>648</v>
      </c>
      <c r="F6" s="118" t="s">
        <v>28</v>
      </c>
      <c r="G6" s="118" t="s">
        <v>29</v>
      </c>
      <c r="H6" s="133">
        <f t="shared" si="0"/>
        <v>4</v>
      </c>
      <c r="I6" s="1"/>
      <c r="J6" s="269"/>
      <c r="K6" s="175"/>
      <c r="L6" s="175"/>
      <c r="M6" s="175"/>
      <c r="N6" s="181" t="str">
        <f t="shared" si="1"/>
        <v>Builder</v>
      </c>
      <c r="O6" s="60" t="str">
        <f t="shared" si="2"/>
        <v>Bui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3.2" x14ac:dyDescent="0.25">
      <c r="B7" s="132" t="s">
        <v>1</v>
      </c>
      <c r="C7" s="89" t="s">
        <v>9</v>
      </c>
      <c r="D7" s="89" t="s">
        <v>30</v>
      </c>
      <c r="E7" s="126" t="s">
        <v>649</v>
      </c>
      <c r="F7" s="118" t="s">
        <v>31</v>
      </c>
      <c r="G7" s="118" t="s">
        <v>32</v>
      </c>
      <c r="H7" s="133">
        <f t="shared" si="0"/>
        <v>2</v>
      </c>
      <c r="I7" s="1"/>
      <c r="J7" s="269"/>
      <c r="K7" s="175"/>
      <c r="L7" s="175"/>
      <c r="M7" s="175"/>
      <c r="N7" s="181" t="str">
        <f t="shared" si="1"/>
        <v>Agrarian</v>
      </c>
      <c r="O7" s="60" t="str">
        <f t="shared" si="2"/>
        <v>Agr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3.2" x14ac:dyDescent="0.25">
      <c r="B8" s="132" t="s">
        <v>1</v>
      </c>
      <c r="C8" s="89" t="s">
        <v>11</v>
      </c>
      <c r="D8" s="89" t="s">
        <v>33</v>
      </c>
      <c r="E8" s="126" t="s">
        <v>34</v>
      </c>
      <c r="F8" s="118" t="s">
        <v>35</v>
      </c>
      <c r="G8" s="118" t="s">
        <v>36</v>
      </c>
      <c r="H8" s="133">
        <f t="shared" si="0"/>
        <v>1</v>
      </c>
      <c r="I8" s="1"/>
      <c r="J8" s="269"/>
      <c r="K8" s="175"/>
      <c r="L8" s="175"/>
      <c r="M8" s="175"/>
      <c r="N8" s="181" t="str">
        <f t="shared" si="1"/>
        <v>Militarist</v>
      </c>
      <c r="O8" s="60" t="str">
        <f t="shared" si="2"/>
        <v>Mil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3.2" x14ac:dyDescent="0.25">
      <c r="B9" s="132" t="s">
        <v>1</v>
      </c>
      <c r="C9" s="89" t="s">
        <v>11</v>
      </c>
      <c r="D9" s="89" t="s">
        <v>37</v>
      </c>
      <c r="E9" s="126" t="s">
        <v>38</v>
      </c>
      <c r="F9" s="118" t="s">
        <v>39</v>
      </c>
      <c r="G9" s="118" t="s">
        <v>40</v>
      </c>
      <c r="H9" s="133">
        <f t="shared" si="0"/>
        <v>1</v>
      </c>
      <c r="I9" s="1"/>
      <c r="J9" s="269"/>
      <c r="K9" s="175"/>
      <c r="L9" s="175"/>
      <c r="M9" s="175"/>
      <c r="N9" s="181" t="str">
        <f t="shared" si="1"/>
        <v>Militarist</v>
      </c>
      <c r="O9" s="60" t="str">
        <f t="shared" si="2"/>
        <v>Mil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.2" x14ac:dyDescent="0.25">
      <c r="B10" s="132" t="s">
        <v>1</v>
      </c>
      <c r="C10" s="89" t="s">
        <v>12</v>
      </c>
      <c r="D10" s="89" t="s">
        <v>41</v>
      </c>
      <c r="E10" s="126" t="s">
        <v>527</v>
      </c>
      <c r="F10" s="118" t="s">
        <v>42</v>
      </c>
      <c r="G10" s="118" t="s">
        <v>43</v>
      </c>
      <c r="H10" s="133">
        <f t="shared" si="0"/>
        <v>1</v>
      </c>
      <c r="I10" s="1"/>
      <c r="J10" s="269"/>
      <c r="K10" s="175"/>
      <c r="L10" s="175"/>
      <c r="M10" s="175"/>
      <c r="N10" s="181" t="str">
        <f t="shared" si="1"/>
        <v>Merchant</v>
      </c>
      <c r="O10" s="60" t="str">
        <f t="shared" si="2"/>
        <v>Mer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3.2" x14ac:dyDescent="0.25">
      <c r="B11" s="132" t="s">
        <v>1</v>
      </c>
      <c r="C11" s="89" t="s">
        <v>538</v>
      </c>
      <c r="D11" s="89" t="s">
        <v>44</v>
      </c>
      <c r="E11" s="126" t="s">
        <v>45</v>
      </c>
      <c r="F11" s="118" t="s">
        <v>46</v>
      </c>
      <c r="G11" s="118" t="s">
        <v>47</v>
      </c>
      <c r="H11" s="133">
        <f t="shared" si="0"/>
        <v>2</v>
      </c>
      <c r="I11" s="1"/>
      <c r="J11" s="269"/>
      <c r="K11" s="175"/>
      <c r="L11" s="175"/>
      <c r="M11" s="175"/>
      <c r="N11" s="181" t="str">
        <f t="shared" si="1"/>
        <v>Aesthete</v>
      </c>
      <c r="O11" s="60" t="str">
        <f t="shared" si="2"/>
        <v>Aes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3.2" x14ac:dyDescent="0.25">
      <c r="B12" s="132" t="s">
        <v>1</v>
      </c>
      <c r="C12" s="89" t="s">
        <v>12</v>
      </c>
      <c r="D12" s="89" t="s">
        <v>48</v>
      </c>
      <c r="E12" s="126" t="s">
        <v>49</v>
      </c>
      <c r="F12" s="118" t="s">
        <v>50</v>
      </c>
      <c r="G12" s="118" t="s">
        <v>51</v>
      </c>
      <c r="H12" s="133">
        <f t="shared" si="0"/>
        <v>4</v>
      </c>
      <c r="I12" s="1"/>
      <c r="J12" s="269"/>
      <c r="K12" s="175"/>
      <c r="L12" s="175"/>
      <c r="M12" s="175"/>
      <c r="N12" s="181" t="str">
        <f t="shared" si="1"/>
        <v>Merchant</v>
      </c>
      <c r="O12" s="60" t="str">
        <f t="shared" si="2"/>
        <v>Mer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3.8" thickBot="1" x14ac:dyDescent="0.3">
      <c r="B13" s="135" t="s">
        <v>1</v>
      </c>
      <c r="C13" s="136" t="s">
        <v>538</v>
      </c>
      <c r="D13" s="136" t="s">
        <v>52</v>
      </c>
      <c r="E13" s="137" t="s">
        <v>53</v>
      </c>
      <c r="F13" s="138" t="s">
        <v>54</v>
      </c>
      <c r="G13" s="138" t="s">
        <v>55</v>
      </c>
      <c r="H13" s="139">
        <f t="shared" si="0"/>
        <v>1</v>
      </c>
      <c r="I13" s="1"/>
      <c r="J13" s="272"/>
      <c r="K13" s="273"/>
      <c r="L13" s="273"/>
      <c r="M13" s="273"/>
      <c r="N13" s="181" t="str">
        <f t="shared" si="1"/>
        <v>Aesthete</v>
      </c>
      <c r="O13" s="60" t="str">
        <f t="shared" si="2"/>
        <v>Aes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3.2" x14ac:dyDescent="0.25">
      <c r="B14" s="140" t="s">
        <v>2</v>
      </c>
      <c r="C14" s="128" t="s">
        <v>10</v>
      </c>
      <c r="D14" s="128" t="s">
        <v>56</v>
      </c>
      <c r="E14" s="129" t="s">
        <v>57</v>
      </c>
      <c r="F14" s="130" t="s">
        <v>58</v>
      </c>
      <c r="G14" s="130" t="s">
        <v>59</v>
      </c>
      <c r="H14" s="141">
        <f t="shared" si="0"/>
        <v>7</v>
      </c>
      <c r="I14" s="1"/>
      <c r="J14" s="274"/>
      <c r="K14" s="275"/>
      <c r="L14" s="275"/>
      <c r="M14" s="275"/>
      <c r="N14" s="181" t="str">
        <f t="shared" si="1"/>
        <v>Expansionist</v>
      </c>
      <c r="O14" s="60" t="str">
        <f t="shared" si="2"/>
        <v>Exp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3.2" x14ac:dyDescent="0.25">
      <c r="B15" s="142" t="s">
        <v>2</v>
      </c>
      <c r="C15" s="89" t="s">
        <v>12</v>
      </c>
      <c r="D15" s="89" t="s">
        <v>60</v>
      </c>
      <c r="E15" s="126" t="s">
        <v>61</v>
      </c>
      <c r="F15" s="118" t="s">
        <v>62</v>
      </c>
      <c r="G15" s="118" t="s">
        <v>63</v>
      </c>
      <c r="H15" s="143">
        <f t="shared" si="0"/>
        <v>1</v>
      </c>
      <c r="I15" s="1"/>
      <c r="J15" s="276"/>
      <c r="K15" s="176"/>
      <c r="L15" s="176"/>
      <c r="M15" s="176"/>
      <c r="N15" s="181" t="str">
        <f t="shared" si="1"/>
        <v>Merchant</v>
      </c>
      <c r="O15" s="60" t="str">
        <f t="shared" si="2"/>
        <v>Mer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3.2" x14ac:dyDescent="0.25">
      <c r="B16" s="142" t="s">
        <v>2</v>
      </c>
      <c r="C16" s="89" t="s">
        <v>12</v>
      </c>
      <c r="D16" s="89" t="s">
        <v>64</v>
      </c>
      <c r="E16" s="126" t="s">
        <v>65</v>
      </c>
      <c r="F16" s="118" t="s">
        <v>66</v>
      </c>
      <c r="G16" s="118" t="s">
        <v>67</v>
      </c>
      <c r="H16" s="143">
        <f t="shared" si="0"/>
        <v>1</v>
      </c>
      <c r="I16" s="1"/>
      <c r="J16" s="276"/>
      <c r="K16" s="176"/>
      <c r="L16" s="176"/>
      <c r="M16" s="176"/>
      <c r="N16" s="181" t="str">
        <f t="shared" si="1"/>
        <v>Merchant</v>
      </c>
      <c r="O16" s="60" t="str">
        <f t="shared" si="2"/>
        <v>Mer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13.2" x14ac:dyDescent="0.25">
      <c r="B17" s="142" t="s">
        <v>2</v>
      </c>
      <c r="C17" s="89" t="s">
        <v>9</v>
      </c>
      <c r="D17" s="89" t="s">
        <v>68</v>
      </c>
      <c r="E17" s="126" t="s">
        <v>69</v>
      </c>
      <c r="F17" s="118" t="s">
        <v>70</v>
      </c>
      <c r="G17" s="118" t="s">
        <v>71</v>
      </c>
      <c r="H17" s="143">
        <f t="shared" si="0"/>
        <v>1</v>
      </c>
      <c r="I17" s="1"/>
      <c r="J17" s="276"/>
      <c r="K17" s="176"/>
      <c r="L17" s="176"/>
      <c r="M17" s="176"/>
      <c r="N17" s="181" t="str">
        <f t="shared" si="1"/>
        <v>Agrarian</v>
      </c>
      <c r="O17" s="60" t="str">
        <f t="shared" si="2"/>
        <v>Agr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13.2" x14ac:dyDescent="0.25">
      <c r="B18" s="142" t="s">
        <v>2</v>
      </c>
      <c r="C18" s="89" t="s">
        <v>11</v>
      </c>
      <c r="D18" s="89" t="s">
        <v>72</v>
      </c>
      <c r="E18" s="126" t="s">
        <v>73</v>
      </c>
      <c r="F18" s="118" t="s">
        <v>74</v>
      </c>
      <c r="G18" s="118" t="s">
        <v>75</v>
      </c>
      <c r="H18" s="143">
        <f t="shared" si="0"/>
        <v>1</v>
      </c>
      <c r="I18" s="1"/>
      <c r="J18" s="276"/>
      <c r="K18" s="176"/>
      <c r="L18" s="176"/>
      <c r="M18" s="176"/>
      <c r="N18" s="181" t="str">
        <f t="shared" si="1"/>
        <v>Militarist</v>
      </c>
      <c r="O18" s="60" t="str">
        <f t="shared" si="2"/>
        <v>Mil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ht="13.2" x14ac:dyDescent="0.25">
      <c r="B19" s="142" t="s">
        <v>2</v>
      </c>
      <c r="C19" s="89" t="s">
        <v>13</v>
      </c>
      <c r="D19" s="89" t="s">
        <v>76</v>
      </c>
      <c r="E19" s="126" t="s">
        <v>77</v>
      </c>
      <c r="F19" s="118" t="s">
        <v>78</v>
      </c>
      <c r="G19" s="118" t="s">
        <v>79</v>
      </c>
      <c r="H19" s="143">
        <f t="shared" si="0"/>
        <v>3</v>
      </c>
      <c r="I19" s="1"/>
      <c r="J19" s="276"/>
      <c r="K19" s="176"/>
      <c r="L19" s="176"/>
      <c r="M19" s="176"/>
      <c r="N19" s="181" t="str">
        <f t="shared" si="1"/>
        <v>Scientist</v>
      </c>
      <c r="O19" s="60" t="str">
        <f t="shared" si="2"/>
        <v>Sci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ht="13.2" x14ac:dyDescent="0.25">
      <c r="B20" s="142" t="s">
        <v>2</v>
      </c>
      <c r="C20" s="89" t="s">
        <v>11</v>
      </c>
      <c r="D20" s="89" t="s">
        <v>80</v>
      </c>
      <c r="E20" s="126" t="s">
        <v>81</v>
      </c>
      <c r="F20" s="118" t="s">
        <v>82</v>
      </c>
      <c r="G20" s="118" t="s">
        <v>83</v>
      </c>
      <c r="H20" s="143">
        <f t="shared" si="0"/>
        <v>1</v>
      </c>
      <c r="I20" s="1"/>
      <c r="J20" s="276"/>
      <c r="K20" s="176"/>
      <c r="L20" s="176"/>
      <c r="M20" s="176"/>
      <c r="N20" s="181" t="str">
        <f t="shared" si="1"/>
        <v>Militarist</v>
      </c>
      <c r="O20" s="60" t="str">
        <f t="shared" si="2"/>
        <v>Mil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ht="13.2" x14ac:dyDescent="0.25">
      <c r="B21" s="142" t="s">
        <v>2</v>
      </c>
      <c r="C21" s="89" t="s">
        <v>538</v>
      </c>
      <c r="D21" s="89" t="s">
        <v>84</v>
      </c>
      <c r="E21" s="126" t="s">
        <v>85</v>
      </c>
      <c r="F21" s="118" t="s">
        <v>86</v>
      </c>
      <c r="G21" s="118" t="s">
        <v>87</v>
      </c>
      <c r="H21" s="143">
        <f t="shared" si="0"/>
        <v>3</v>
      </c>
      <c r="I21" s="1"/>
      <c r="J21" s="276"/>
      <c r="K21" s="176"/>
      <c r="L21" s="176"/>
      <c r="M21" s="176"/>
      <c r="N21" s="181" t="str">
        <f t="shared" si="1"/>
        <v>Aesthete</v>
      </c>
      <c r="O21" s="60" t="str">
        <f t="shared" si="2"/>
        <v>Aes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ht="13.2" x14ac:dyDescent="0.25">
      <c r="B22" s="142" t="s">
        <v>2</v>
      </c>
      <c r="C22" s="89" t="s">
        <v>8</v>
      </c>
      <c r="D22" s="89" t="s">
        <v>88</v>
      </c>
      <c r="E22" s="126" t="s">
        <v>89</v>
      </c>
      <c r="F22" s="118" t="s">
        <v>90</v>
      </c>
      <c r="G22" s="118" t="s">
        <v>91</v>
      </c>
      <c r="H22" s="143">
        <f t="shared" si="0"/>
        <v>2</v>
      </c>
      <c r="I22" s="1"/>
      <c r="J22" s="276"/>
      <c r="K22" s="176"/>
      <c r="L22" s="176"/>
      <c r="M22" s="176"/>
      <c r="N22" s="181" t="str">
        <f t="shared" si="1"/>
        <v>Builder</v>
      </c>
      <c r="O22" s="60" t="str">
        <f t="shared" si="2"/>
        <v>Bui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ht="13.8" thickBot="1" x14ac:dyDescent="0.3">
      <c r="B23" s="144" t="s">
        <v>2</v>
      </c>
      <c r="C23" s="136" t="s">
        <v>10</v>
      </c>
      <c r="D23" s="136" t="s">
        <v>92</v>
      </c>
      <c r="E23" s="137" t="s">
        <v>93</v>
      </c>
      <c r="F23" s="138" t="s">
        <v>94</v>
      </c>
      <c r="G23" s="138" t="s">
        <v>95</v>
      </c>
      <c r="H23" s="145">
        <f t="shared" si="0"/>
        <v>1</v>
      </c>
      <c r="I23" s="1"/>
      <c r="J23" s="270"/>
      <c r="K23" s="271"/>
      <c r="L23" s="271"/>
      <c r="M23" s="271"/>
      <c r="N23" s="181" t="str">
        <f t="shared" si="1"/>
        <v>Expansionist</v>
      </c>
      <c r="O23" s="60" t="str">
        <f t="shared" si="2"/>
        <v>Exp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ht="13.2" x14ac:dyDescent="0.25">
      <c r="B24" s="146" t="s">
        <v>3</v>
      </c>
      <c r="C24" s="128" t="s">
        <v>11</v>
      </c>
      <c r="D24" s="128" t="s">
        <v>96</v>
      </c>
      <c r="E24" s="129" t="s">
        <v>97</v>
      </c>
      <c r="F24" s="130" t="s">
        <v>98</v>
      </c>
      <c r="G24" s="130" t="s">
        <v>99</v>
      </c>
      <c r="H24" s="147">
        <f t="shared" si="0"/>
        <v>1</v>
      </c>
      <c r="I24" s="1"/>
      <c r="J24" s="277"/>
      <c r="K24" s="278"/>
      <c r="L24" s="278"/>
      <c r="M24" s="278"/>
      <c r="N24" s="181" t="str">
        <f t="shared" si="1"/>
        <v>Militarist</v>
      </c>
      <c r="O24" s="60" t="str">
        <f t="shared" si="2"/>
        <v>Mil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ht="13.2" x14ac:dyDescent="0.25">
      <c r="B25" s="148" t="s">
        <v>3</v>
      </c>
      <c r="C25" s="89" t="s">
        <v>12</v>
      </c>
      <c r="D25" s="89" t="s">
        <v>100</v>
      </c>
      <c r="E25" s="126" t="s">
        <v>101</v>
      </c>
      <c r="F25" s="118" t="s">
        <v>102</v>
      </c>
      <c r="G25" s="118" t="s">
        <v>103</v>
      </c>
      <c r="H25" s="149">
        <f t="shared" si="0"/>
        <v>0</v>
      </c>
      <c r="I25" s="1"/>
      <c r="J25" s="279"/>
      <c r="K25" s="177"/>
      <c r="L25" s="177"/>
      <c r="M25" s="177"/>
      <c r="N25" s="181" t="str">
        <f t="shared" si="1"/>
        <v>Merchant</v>
      </c>
      <c r="O25" s="60" t="str">
        <f t="shared" si="2"/>
        <v>Mer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ht="13.2" x14ac:dyDescent="0.25">
      <c r="B26" s="148" t="s">
        <v>3</v>
      </c>
      <c r="C26" s="89" t="s">
        <v>9</v>
      </c>
      <c r="D26" s="89" t="s">
        <v>104</v>
      </c>
      <c r="E26" s="126" t="s">
        <v>105</v>
      </c>
      <c r="F26" s="118" t="s">
        <v>106</v>
      </c>
      <c r="G26" s="118" t="s">
        <v>107</v>
      </c>
      <c r="H26" s="149">
        <f t="shared" si="0"/>
        <v>2</v>
      </c>
      <c r="I26" s="1"/>
      <c r="J26" s="279"/>
      <c r="K26" s="177"/>
      <c r="L26" s="177"/>
      <c r="M26" s="177"/>
      <c r="N26" s="181" t="str">
        <f t="shared" si="1"/>
        <v>Agrarian</v>
      </c>
      <c r="O26" s="60" t="str">
        <f>LEFT(N26,3)</f>
        <v>Agr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13.8" thickBot="1" x14ac:dyDescent="0.3">
      <c r="B27" s="148" t="s">
        <v>3</v>
      </c>
      <c r="C27" s="89" t="s">
        <v>538</v>
      </c>
      <c r="D27" s="89" t="s">
        <v>108</v>
      </c>
      <c r="E27" s="126" t="s">
        <v>109</v>
      </c>
      <c r="F27" s="118" t="s">
        <v>110</v>
      </c>
      <c r="G27" s="118" t="s">
        <v>111</v>
      </c>
      <c r="H27" s="149">
        <f t="shared" si="0"/>
        <v>7</v>
      </c>
      <c r="I27" s="1"/>
      <c r="J27" s="279"/>
      <c r="K27" s="177"/>
      <c r="L27" s="177"/>
      <c r="M27" s="177"/>
      <c r="N27" s="181" t="str">
        <f t="shared" si="1"/>
        <v>Aesthete</v>
      </c>
      <c r="O27" s="60" t="str">
        <f t="shared" si="2"/>
        <v>Aes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ht="13.8" thickBot="1" x14ac:dyDescent="0.3">
      <c r="B28" s="148" t="s">
        <v>3</v>
      </c>
      <c r="C28" s="89" t="s">
        <v>12</v>
      </c>
      <c r="D28" s="89" t="s">
        <v>112</v>
      </c>
      <c r="E28" s="126" t="s">
        <v>113</v>
      </c>
      <c r="F28" s="118" t="s">
        <v>114</v>
      </c>
      <c r="G28" s="118" t="s">
        <v>115</v>
      </c>
      <c r="H28" s="149">
        <f t="shared" si="0"/>
        <v>1</v>
      </c>
      <c r="I28" s="1"/>
      <c r="J28" s="279"/>
      <c r="K28" s="177"/>
      <c r="L28" s="177"/>
      <c r="M28" s="177"/>
      <c r="N28" s="181" t="str">
        <f t="shared" si="1"/>
        <v>Merchant</v>
      </c>
      <c r="O28" s="60" t="str">
        <f t="shared" si="2"/>
        <v>Mer</v>
      </c>
      <c r="P28" s="1"/>
      <c r="Q28" s="1"/>
      <c r="R28" s="559" t="s">
        <v>682</v>
      </c>
      <c r="S28" s="560"/>
      <c r="T28" s="560"/>
      <c r="U28" s="560"/>
      <c r="V28" s="560"/>
      <c r="W28" s="560"/>
      <c r="X28" s="561"/>
      <c r="Y28" s="1"/>
      <c r="Z28" s="1"/>
      <c r="AA28" s="1"/>
    </row>
    <row r="29" spans="2:27" ht="13.8" thickBot="1" x14ac:dyDescent="0.3">
      <c r="B29" s="148" t="s">
        <v>3</v>
      </c>
      <c r="C29" s="89" t="s">
        <v>8</v>
      </c>
      <c r="D29" s="89" t="s">
        <v>116</v>
      </c>
      <c r="E29" s="126" t="s">
        <v>117</v>
      </c>
      <c r="F29" s="118" t="s">
        <v>118</v>
      </c>
      <c r="G29" s="118" t="s">
        <v>119</v>
      </c>
      <c r="H29" s="149">
        <f t="shared" si="0"/>
        <v>6</v>
      </c>
      <c r="I29" s="1"/>
      <c r="J29" s="279"/>
      <c r="K29" s="177"/>
      <c r="L29" s="177"/>
      <c r="M29" s="177"/>
      <c r="N29" s="181" t="str">
        <f t="shared" si="1"/>
        <v>Builder</v>
      </c>
      <c r="O29" s="60" t="str">
        <f t="shared" si="2"/>
        <v>Bui</v>
      </c>
      <c r="P29" s="1"/>
      <c r="Q29" s="414" t="s">
        <v>684</v>
      </c>
      <c r="R29" s="415" t="s">
        <v>8</v>
      </c>
      <c r="S29" s="415" t="s">
        <v>9</v>
      </c>
      <c r="T29" s="415" t="s">
        <v>10</v>
      </c>
      <c r="U29" s="415" t="s">
        <v>11</v>
      </c>
      <c r="V29" s="415" t="s">
        <v>538</v>
      </c>
      <c r="W29" s="415" t="s">
        <v>12</v>
      </c>
      <c r="X29" s="415" t="s">
        <v>13</v>
      </c>
      <c r="Y29" s="416" t="s">
        <v>535</v>
      </c>
      <c r="Z29" s="1"/>
      <c r="AA29" s="1"/>
    </row>
    <row r="30" spans="2:27" ht="13.2" x14ac:dyDescent="0.25">
      <c r="B30" s="148" t="s">
        <v>3</v>
      </c>
      <c r="C30" s="89" t="s">
        <v>11</v>
      </c>
      <c r="D30" s="89" t="s">
        <v>120</v>
      </c>
      <c r="E30" s="126" t="s">
        <v>121</v>
      </c>
      <c r="F30" s="118" t="s">
        <v>122</v>
      </c>
      <c r="G30" s="118" t="s">
        <v>123</v>
      </c>
      <c r="H30" s="149">
        <f t="shared" si="0"/>
        <v>1</v>
      </c>
      <c r="I30" s="1"/>
      <c r="J30" s="279"/>
      <c r="K30" s="177"/>
      <c r="L30" s="177"/>
      <c r="M30" s="177"/>
      <c r="N30" s="181" t="str">
        <f t="shared" si="1"/>
        <v>Militarist</v>
      </c>
      <c r="O30" s="60" t="str">
        <f t="shared" si="2"/>
        <v>Mil</v>
      </c>
      <c r="P30" s="1"/>
      <c r="Q30" s="549" t="s">
        <v>1</v>
      </c>
      <c r="R30" s="417" t="str">
        <f>D6</f>
        <v>Ancient Egyptians</v>
      </c>
      <c r="S30" s="417" t="str">
        <f>D7</f>
        <v>Harappans</v>
      </c>
      <c r="T30" s="417" t="s">
        <v>21</v>
      </c>
      <c r="U30" s="417" t="s">
        <v>33</v>
      </c>
      <c r="V30" s="417" t="s">
        <v>44</v>
      </c>
      <c r="W30" s="417" t="s">
        <v>41</v>
      </c>
      <c r="X30" s="417" t="s">
        <v>24</v>
      </c>
      <c r="Y30" s="569">
        <f>COUNTA(R30:X31)</f>
        <v>10</v>
      </c>
      <c r="Z30" s="1"/>
      <c r="AA30" s="1"/>
    </row>
    <row r="31" spans="2:27" ht="13.8" thickBot="1" x14ac:dyDescent="0.3">
      <c r="B31" s="148" t="s">
        <v>3</v>
      </c>
      <c r="C31" s="89" t="s">
        <v>10</v>
      </c>
      <c r="D31" s="89" t="s">
        <v>124</v>
      </c>
      <c r="E31" s="126" t="s">
        <v>125</v>
      </c>
      <c r="F31" s="118" t="s">
        <v>126</v>
      </c>
      <c r="G31" s="118" t="s">
        <v>127</v>
      </c>
      <c r="H31" s="149">
        <f t="shared" si="0"/>
        <v>2</v>
      </c>
      <c r="I31" s="1"/>
      <c r="J31" s="279"/>
      <c r="K31" s="177"/>
      <c r="L31" s="177"/>
      <c r="M31" s="177"/>
      <c r="N31" s="181" t="str">
        <f t="shared" si="1"/>
        <v>Expansionist</v>
      </c>
      <c r="O31" s="60" t="str">
        <f t="shared" si="2"/>
        <v>Exp</v>
      </c>
      <c r="P31" s="1"/>
      <c r="Q31" s="550"/>
      <c r="R31" s="418"/>
      <c r="S31" s="418"/>
      <c r="T31" s="418"/>
      <c r="U31" s="418" t="s">
        <v>37</v>
      </c>
      <c r="V31" s="418" t="s">
        <v>52</v>
      </c>
      <c r="W31" s="418" t="s">
        <v>48</v>
      </c>
      <c r="X31" s="418"/>
      <c r="Y31" s="570"/>
      <c r="Z31" s="1"/>
      <c r="AA31" s="1"/>
    </row>
    <row r="32" spans="2:27" ht="13.2" x14ac:dyDescent="0.25">
      <c r="B32" s="148" t="s">
        <v>3</v>
      </c>
      <c r="C32" s="89" t="s">
        <v>10</v>
      </c>
      <c r="D32" s="89" t="s">
        <v>128</v>
      </c>
      <c r="E32" s="126" t="s">
        <v>129</v>
      </c>
      <c r="F32" s="118" t="s">
        <v>130</v>
      </c>
      <c r="G32" s="118" t="s">
        <v>131</v>
      </c>
      <c r="H32" s="149">
        <f t="shared" si="0"/>
        <v>0</v>
      </c>
      <c r="I32" s="1"/>
      <c r="J32" s="279"/>
      <c r="K32" s="177"/>
      <c r="L32" s="177"/>
      <c r="M32" s="177"/>
      <c r="N32" s="181" t="str">
        <f t="shared" si="1"/>
        <v>Expansionist</v>
      </c>
      <c r="O32" s="60" t="str">
        <f t="shared" si="2"/>
        <v>Exp</v>
      </c>
      <c r="P32" s="1"/>
      <c r="Q32" s="551" t="s">
        <v>2</v>
      </c>
      <c r="R32" s="408" t="str">
        <f>D22</f>
        <v>Maya</v>
      </c>
      <c r="S32" s="408" t="str">
        <f>D17</f>
        <v>Celts</v>
      </c>
      <c r="T32" s="408" t="s">
        <v>56</v>
      </c>
      <c r="U32" s="408" t="s">
        <v>72</v>
      </c>
      <c r="V32" s="408" t="s">
        <v>84</v>
      </c>
      <c r="W32" s="408" t="s">
        <v>60</v>
      </c>
      <c r="X32" s="408" t="s">
        <v>76</v>
      </c>
      <c r="Y32" s="571">
        <f>COUNTA(R32:X33)</f>
        <v>10</v>
      </c>
      <c r="Z32" s="1"/>
      <c r="AA32" s="1"/>
    </row>
    <row r="33" spans="2:27" ht="13.8" thickBot="1" x14ac:dyDescent="0.3">
      <c r="B33" s="150" t="s">
        <v>3</v>
      </c>
      <c r="C33" s="136" t="s">
        <v>13</v>
      </c>
      <c r="D33" s="136" t="s">
        <v>132</v>
      </c>
      <c r="E33" s="137" t="s">
        <v>133</v>
      </c>
      <c r="F33" s="138" t="s">
        <v>134</v>
      </c>
      <c r="G33" s="138" t="s">
        <v>135</v>
      </c>
      <c r="H33" s="151">
        <f t="shared" si="0"/>
        <v>1</v>
      </c>
      <c r="I33" s="1"/>
      <c r="J33" s="280"/>
      <c r="K33" s="281"/>
      <c r="L33" s="281"/>
      <c r="M33" s="281"/>
      <c r="N33" s="181" t="str">
        <f t="shared" si="1"/>
        <v>Scientist</v>
      </c>
      <c r="O33" s="60" t="str">
        <f t="shared" si="2"/>
        <v>Sci</v>
      </c>
      <c r="P33" s="1"/>
      <c r="Q33" s="552"/>
      <c r="R33" s="409"/>
      <c r="S33" s="409"/>
      <c r="T33" s="409" t="s">
        <v>92</v>
      </c>
      <c r="U33" s="409" t="s">
        <v>80</v>
      </c>
      <c r="V33" s="409"/>
      <c r="W33" s="409" t="s">
        <v>64</v>
      </c>
      <c r="X33" s="409"/>
      <c r="Y33" s="572"/>
      <c r="Z33" s="1"/>
      <c r="AA33" s="1"/>
    </row>
    <row r="34" spans="2:27" ht="13.2" x14ac:dyDescent="0.25">
      <c r="B34" s="152" t="s">
        <v>4</v>
      </c>
      <c r="C34" s="128" t="s">
        <v>12</v>
      </c>
      <c r="D34" s="128" t="s">
        <v>136</v>
      </c>
      <c r="E34" s="129" t="s">
        <v>137</v>
      </c>
      <c r="F34" s="130" t="s">
        <v>138</v>
      </c>
      <c r="G34" s="130" t="s">
        <v>139</v>
      </c>
      <c r="H34" s="153">
        <f t="shared" si="0"/>
        <v>1</v>
      </c>
      <c r="I34" s="1"/>
      <c r="J34" s="282"/>
      <c r="K34" s="283"/>
      <c r="L34" s="283"/>
      <c r="M34" s="283"/>
      <c r="N34" s="181" t="str">
        <f t="shared" si="1"/>
        <v>Merchant</v>
      </c>
      <c r="O34" s="60" t="str">
        <f t="shared" si="2"/>
        <v>Mer</v>
      </c>
      <c r="P34" s="1"/>
      <c r="Q34" s="553" t="s">
        <v>3</v>
      </c>
      <c r="R34" s="407" t="str">
        <f>D29</f>
        <v>Khmer</v>
      </c>
      <c r="S34" s="407" t="str">
        <f>D26</f>
        <v>English</v>
      </c>
      <c r="T34" s="407" t="s">
        <v>124</v>
      </c>
      <c r="U34" s="407" t="s">
        <v>96</v>
      </c>
      <c r="V34" s="407" t="s">
        <v>108</v>
      </c>
      <c r="W34" s="407" t="s">
        <v>100</v>
      </c>
      <c r="X34" s="407" t="s">
        <v>132</v>
      </c>
      <c r="Y34" s="562">
        <f>COUNTA(R34:X35)</f>
        <v>10</v>
      </c>
      <c r="Z34" s="1"/>
      <c r="AA34" s="1"/>
    </row>
    <row r="35" spans="2:27" ht="13.8" thickBot="1" x14ac:dyDescent="0.3">
      <c r="B35" s="154" t="s">
        <v>4</v>
      </c>
      <c r="C35" s="89" t="s">
        <v>538</v>
      </c>
      <c r="D35" s="89" t="s">
        <v>140</v>
      </c>
      <c r="E35" s="126" t="s">
        <v>141</v>
      </c>
      <c r="F35" s="118" t="s">
        <v>142</v>
      </c>
      <c r="G35" s="118" t="s">
        <v>143</v>
      </c>
      <c r="H35" s="155">
        <f t="shared" si="0"/>
        <v>3</v>
      </c>
      <c r="I35" s="1"/>
      <c r="J35" s="284"/>
      <c r="K35" s="178"/>
      <c r="L35" s="178"/>
      <c r="M35" s="178"/>
      <c r="N35" s="181" t="str">
        <f t="shared" si="1"/>
        <v>Aesthete</v>
      </c>
      <c r="O35" s="60" t="str">
        <f t="shared" si="2"/>
        <v>Aes</v>
      </c>
      <c r="P35" s="1"/>
      <c r="Q35" s="554"/>
      <c r="R35" s="410"/>
      <c r="S35" s="410"/>
      <c r="T35" s="410" t="s">
        <v>128</v>
      </c>
      <c r="U35" s="410" t="s">
        <v>120</v>
      </c>
      <c r="V35" s="410"/>
      <c r="W35" s="410" t="s">
        <v>112</v>
      </c>
      <c r="X35" s="410"/>
      <c r="Y35" s="563"/>
      <c r="Z35" s="1"/>
      <c r="AA35" s="1"/>
    </row>
    <row r="36" spans="2:27" ht="13.2" x14ac:dyDescent="0.25">
      <c r="B36" s="154" t="s">
        <v>4</v>
      </c>
      <c r="C36" s="89" t="s">
        <v>9</v>
      </c>
      <c r="D36" s="89" t="s">
        <v>144</v>
      </c>
      <c r="E36" s="126" t="s">
        <v>145</v>
      </c>
      <c r="F36" s="118" t="s">
        <v>146</v>
      </c>
      <c r="G36" s="118" t="s">
        <v>147</v>
      </c>
      <c r="H36" s="155">
        <f t="shared" ref="H36:H63" si="3">COUNTIF(MyBuild,D36)</f>
        <v>1</v>
      </c>
      <c r="I36" s="1"/>
      <c r="J36" s="284"/>
      <c r="K36" s="178"/>
      <c r="L36" s="178"/>
      <c r="M36" s="178"/>
      <c r="N36" s="181" t="str">
        <f t="shared" si="1"/>
        <v>Agrarian</v>
      </c>
      <c r="O36" s="60" t="str">
        <f t="shared" si="2"/>
        <v>Agr</v>
      </c>
      <c r="P36" s="1"/>
      <c r="Q36" s="555" t="s">
        <v>4</v>
      </c>
      <c r="R36" s="412" t="str">
        <f>D39</f>
        <v>Mughals</v>
      </c>
      <c r="S36" s="412" t="str">
        <f>D36</f>
        <v>Haudenosaunee</v>
      </c>
      <c r="T36" s="412" t="s">
        <v>160</v>
      </c>
      <c r="U36" s="412" t="s">
        <v>164</v>
      </c>
      <c r="V36" s="412" t="s">
        <v>140</v>
      </c>
      <c r="W36" s="412" t="s">
        <v>136</v>
      </c>
      <c r="X36" s="412" t="s">
        <v>148</v>
      </c>
      <c r="Y36" s="564">
        <f>COUNTA(R36:X37)</f>
        <v>10</v>
      </c>
      <c r="Z36" s="1"/>
      <c r="AA36" s="1"/>
    </row>
    <row r="37" spans="2:27" ht="13.8" thickBot="1" x14ac:dyDescent="0.3">
      <c r="B37" s="154" t="s">
        <v>4</v>
      </c>
      <c r="C37" s="89" t="s">
        <v>13</v>
      </c>
      <c r="D37" s="89" t="s">
        <v>148</v>
      </c>
      <c r="E37" s="126" t="s">
        <v>149</v>
      </c>
      <c r="F37" s="118" t="s">
        <v>150</v>
      </c>
      <c r="G37" s="118" t="s">
        <v>151</v>
      </c>
      <c r="H37" s="155">
        <f t="shared" si="3"/>
        <v>3</v>
      </c>
      <c r="I37" s="1"/>
      <c r="J37" s="284"/>
      <c r="K37" s="178"/>
      <c r="L37" s="178"/>
      <c r="M37" s="178"/>
      <c r="N37" s="181" t="str">
        <f t="shared" si="1"/>
        <v>Scientist</v>
      </c>
      <c r="O37" s="60" t="str">
        <f t="shared" si="2"/>
        <v>Sci</v>
      </c>
      <c r="P37" s="1"/>
      <c r="Q37" s="556"/>
      <c r="R37" s="413"/>
      <c r="S37" s="413"/>
      <c r="T37" s="413" t="s">
        <v>168</v>
      </c>
      <c r="U37" s="413"/>
      <c r="V37" s="413" t="s">
        <v>152</v>
      </c>
      <c r="W37" s="413" t="s">
        <v>172</v>
      </c>
      <c r="X37" s="413"/>
      <c r="Y37" s="565"/>
      <c r="Z37" s="1"/>
      <c r="AA37" s="1"/>
    </row>
    <row r="38" spans="2:27" ht="13.2" x14ac:dyDescent="0.25">
      <c r="B38" s="154" t="s">
        <v>4</v>
      </c>
      <c r="C38" s="89" t="s">
        <v>538</v>
      </c>
      <c r="D38" s="89" t="s">
        <v>152</v>
      </c>
      <c r="E38" s="126" t="s">
        <v>153</v>
      </c>
      <c r="F38" s="118" t="s">
        <v>154</v>
      </c>
      <c r="G38" s="118" t="s">
        <v>155</v>
      </c>
      <c r="H38" s="155">
        <f t="shared" si="3"/>
        <v>5</v>
      </c>
      <c r="I38" s="1"/>
      <c r="J38" s="284"/>
      <c r="K38" s="178"/>
      <c r="L38" s="178"/>
      <c r="M38" s="178"/>
      <c r="N38" s="181" t="str">
        <f t="shared" si="1"/>
        <v>Aesthete</v>
      </c>
      <c r="O38" s="60" t="str">
        <f t="shared" si="2"/>
        <v>Aes</v>
      </c>
      <c r="P38" s="1"/>
      <c r="Q38" s="557" t="s">
        <v>5</v>
      </c>
      <c r="R38" s="411" t="str">
        <f>D50</f>
        <v>Persians</v>
      </c>
      <c r="S38" s="411" t="str">
        <f>D49</f>
        <v>Mexicans</v>
      </c>
      <c r="T38" s="411" t="s">
        <v>180</v>
      </c>
      <c r="U38" s="411" t="s">
        <v>188</v>
      </c>
      <c r="V38" s="411" t="s">
        <v>176</v>
      </c>
      <c r="W38" s="411"/>
      <c r="X38" s="411" t="s">
        <v>184</v>
      </c>
      <c r="Y38" s="566">
        <f>COUNTA(R38:X40)</f>
        <v>10</v>
      </c>
      <c r="Z38" s="1"/>
      <c r="AA38" s="1"/>
    </row>
    <row r="39" spans="2:27" ht="13.2" x14ac:dyDescent="0.25">
      <c r="B39" s="154" t="s">
        <v>4</v>
      </c>
      <c r="C39" s="89" t="s">
        <v>8</v>
      </c>
      <c r="D39" s="89" t="s">
        <v>156</v>
      </c>
      <c r="E39" s="126" t="s">
        <v>157</v>
      </c>
      <c r="F39" s="118" t="s">
        <v>158</v>
      </c>
      <c r="G39" s="118" t="s">
        <v>159</v>
      </c>
      <c r="H39" s="155">
        <f t="shared" si="3"/>
        <v>4</v>
      </c>
      <c r="I39" s="1"/>
      <c r="J39" s="284"/>
      <c r="K39" s="178"/>
      <c r="L39" s="178"/>
      <c r="M39" s="178"/>
      <c r="N39" s="181" t="str">
        <f t="shared" si="1"/>
        <v>Builder</v>
      </c>
      <c r="O39" s="60" t="str">
        <f t="shared" si="2"/>
        <v>Bui</v>
      </c>
      <c r="P39" s="1"/>
      <c r="Q39" s="558"/>
      <c r="R39" s="404" t="str">
        <f>D52</f>
        <v>Siamese</v>
      </c>
      <c r="S39" s="404"/>
      <c r="T39" s="404" t="s">
        <v>192</v>
      </c>
      <c r="U39" s="404" t="s">
        <v>212</v>
      </c>
      <c r="V39" s="404"/>
      <c r="W39" s="404"/>
      <c r="X39" s="404"/>
      <c r="Y39" s="567"/>
      <c r="Z39" s="1"/>
      <c r="AA39" s="1"/>
    </row>
    <row r="40" spans="2:27" ht="13.2" x14ac:dyDescent="0.25">
      <c r="B40" s="154" t="s">
        <v>4</v>
      </c>
      <c r="C40" s="89" t="s">
        <v>10</v>
      </c>
      <c r="D40" s="89" t="s">
        <v>160</v>
      </c>
      <c r="E40" s="126" t="s">
        <v>161</v>
      </c>
      <c r="F40" s="118" t="s">
        <v>162</v>
      </c>
      <c r="G40" s="118" t="s">
        <v>163</v>
      </c>
      <c r="H40" s="155">
        <f t="shared" si="3"/>
        <v>1</v>
      </c>
      <c r="I40" s="1"/>
      <c r="J40" s="284"/>
      <c r="K40" s="178"/>
      <c r="L40" s="178"/>
      <c r="M40" s="178"/>
      <c r="N40" s="181" t="str">
        <f t="shared" si="1"/>
        <v>Expansionist</v>
      </c>
      <c r="O40" s="60" t="str">
        <f t="shared" si="2"/>
        <v>Exp</v>
      </c>
      <c r="P40" s="1"/>
      <c r="Q40" s="558"/>
      <c r="R40" s="404"/>
      <c r="S40" s="404"/>
      <c r="T40" s="404" t="s">
        <v>204</v>
      </c>
      <c r="U40" s="404"/>
      <c r="V40" s="404"/>
      <c r="W40" s="404"/>
      <c r="X40" s="404"/>
      <c r="Y40" s="567"/>
      <c r="Z40" s="1"/>
      <c r="AA40" s="1"/>
    </row>
    <row r="41" spans="2:27" ht="13.2" x14ac:dyDescent="0.25">
      <c r="B41" s="154" t="s">
        <v>4</v>
      </c>
      <c r="C41" s="89" t="s">
        <v>11</v>
      </c>
      <c r="D41" s="89" t="s">
        <v>164</v>
      </c>
      <c r="E41" s="126" t="s">
        <v>165</v>
      </c>
      <c r="F41" s="118" t="s">
        <v>166</v>
      </c>
      <c r="G41" s="118" t="s">
        <v>167</v>
      </c>
      <c r="H41" s="155">
        <f t="shared" si="3"/>
        <v>3</v>
      </c>
      <c r="I41" s="1"/>
      <c r="J41" s="284"/>
      <c r="K41" s="178"/>
      <c r="L41" s="178"/>
      <c r="M41" s="178"/>
      <c r="N41" s="181" t="str">
        <f>C41</f>
        <v>Militarist</v>
      </c>
      <c r="O41" s="60" t="str">
        <f t="shared" si="2"/>
        <v>Mil</v>
      </c>
      <c r="P41" s="1"/>
      <c r="Q41" s="548" t="s">
        <v>6</v>
      </c>
      <c r="R41" s="405" t="str">
        <f>D55</f>
        <v>Australians</v>
      </c>
      <c r="S41" s="405" t="str">
        <f>D56</f>
        <v>Brazilians</v>
      </c>
      <c r="T41" s="405" t="s">
        <v>216</v>
      </c>
      <c r="U41" s="405"/>
      <c r="V41" s="405" t="s">
        <v>231</v>
      </c>
      <c r="W41" s="405" t="s">
        <v>227</v>
      </c>
      <c r="X41" s="405" t="s">
        <v>239</v>
      </c>
      <c r="Y41" s="568">
        <f>COUNTA(R41:X42)</f>
        <v>10</v>
      </c>
      <c r="Z41" s="1"/>
      <c r="AA41" s="1"/>
    </row>
    <row r="42" spans="2:27" ht="13.2" x14ac:dyDescent="0.25">
      <c r="B42" s="154" t="s">
        <v>4</v>
      </c>
      <c r="C42" s="89" t="s">
        <v>10</v>
      </c>
      <c r="D42" s="89" t="s">
        <v>168</v>
      </c>
      <c r="E42" s="126" t="s">
        <v>169</v>
      </c>
      <c r="F42" s="118" t="s">
        <v>170</v>
      </c>
      <c r="G42" s="118" t="s">
        <v>171</v>
      </c>
      <c r="H42" s="155">
        <f t="shared" si="3"/>
        <v>0</v>
      </c>
      <c r="I42" s="1"/>
      <c r="J42" s="284"/>
      <c r="K42" s="178"/>
      <c r="L42" s="178"/>
      <c r="M42" s="178"/>
      <c r="N42" s="181" t="str">
        <f t="shared" si="1"/>
        <v>Expansionist</v>
      </c>
      <c r="O42" s="60" t="str">
        <f t="shared" si="2"/>
        <v>Exp</v>
      </c>
      <c r="P42" s="1"/>
      <c r="Q42" s="548"/>
      <c r="R42" s="405"/>
      <c r="S42" s="405" t="str">
        <f>D63</f>
        <v>Turks</v>
      </c>
      <c r="T42" s="405" t="s">
        <v>242</v>
      </c>
      <c r="U42" s="405"/>
      <c r="V42" s="405" t="s">
        <v>235</v>
      </c>
      <c r="W42" s="405"/>
      <c r="X42" s="405" t="s">
        <v>246</v>
      </c>
      <c r="Y42" s="568"/>
      <c r="Z42" s="1"/>
      <c r="AA42" s="1"/>
    </row>
    <row r="43" spans="2:27" ht="13.8" thickBot="1" x14ac:dyDescent="0.3">
      <c r="B43" s="156" t="s">
        <v>4</v>
      </c>
      <c r="C43" s="136" t="s">
        <v>12</v>
      </c>
      <c r="D43" s="136" t="s">
        <v>172</v>
      </c>
      <c r="E43" s="137" t="s">
        <v>173</v>
      </c>
      <c r="F43" s="138" t="s">
        <v>174</v>
      </c>
      <c r="G43" s="138" t="s">
        <v>175</v>
      </c>
      <c r="H43" s="157">
        <f t="shared" si="3"/>
        <v>0</v>
      </c>
      <c r="I43" s="1"/>
      <c r="J43" s="285"/>
      <c r="K43" s="286"/>
      <c r="L43" s="286"/>
      <c r="M43" s="286"/>
      <c r="N43" s="181" t="str">
        <f t="shared" si="1"/>
        <v>Merchant</v>
      </c>
      <c r="O43" s="60" t="str">
        <f t="shared" si="2"/>
        <v>Mer</v>
      </c>
      <c r="P43" s="1"/>
      <c r="Q43" s="401" t="s">
        <v>535</v>
      </c>
      <c r="R43" s="402">
        <f>COUNTA(R30:R42)</f>
        <v>7</v>
      </c>
      <c r="S43" s="402">
        <f t="shared" ref="S43:X43" si="4">COUNTA(S30:S42)</f>
        <v>7</v>
      </c>
      <c r="T43" s="402">
        <f t="shared" si="4"/>
        <v>12</v>
      </c>
      <c r="U43" s="402">
        <f t="shared" si="4"/>
        <v>9</v>
      </c>
      <c r="V43" s="402">
        <f t="shared" si="4"/>
        <v>9</v>
      </c>
      <c r="W43" s="402">
        <f t="shared" si="4"/>
        <v>9</v>
      </c>
      <c r="X43" s="402">
        <f t="shared" si="4"/>
        <v>7</v>
      </c>
      <c r="Y43" s="403">
        <f>SUM(R43:X43)</f>
        <v>60</v>
      </c>
      <c r="Z43" s="1"/>
      <c r="AA43" s="1"/>
    </row>
    <row r="44" spans="2:27" ht="13.2" x14ac:dyDescent="0.25">
      <c r="B44" s="158" t="s">
        <v>5</v>
      </c>
      <c r="C44" s="128" t="s">
        <v>538</v>
      </c>
      <c r="D44" s="128" t="s">
        <v>176</v>
      </c>
      <c r="E44" s="129" t="s">
        <v>177</v>
      </c>
      <c r="F44" s="130" t="s">
        <v>178</v>
      </c>
      <c r="G44" s="130" t="s">
        <v>179</v>
      </c>
      <c r="H44" s="159">
        <f t="shared" si="3"/>
        <v>2</v>
      </c>
      <c r="I44" s="1"/>
      <c r="J44" s="287"/>
      <c r="K44" s="288"/>
      <c r="L44" s="288"/>
      <c r="M44" s="288"/>
      <c r="N44" s="181" t="str">
        <f t="shared" si="1"/>
        <v>Aesthete</v>
      </c>
      <c r="O44" s="60" t="str">
        <f t="shared" si="2"/>
        <v>Aes</v>
      </c>
      <c r="P44" s="1"/>
      <c r="Q44" s="1"/>
      <c r="R44" s="1"/>
      <c r="S44" s="1"/>
      <c r="V44" s="1"/>
      <c r="W44" s="1"/>
      <c r="Y44" s="1"/>
      <c r="Z44" s="1"/>
      <c r="AA44" s="1"/>
    </row>
    <row r="45" spans="2:27" ht="13.2" x14ac:dyDescent="0.25">
      <c r="B45" s="160" t="s">
        <v>5</v>
      </c>
      <c r="C45" s="89" t="s">
        <v>10</v>
      </c>
      <c r="D45" s="89" t="s">
        <v>180</v>
      </c>
      <c r="E45" s="126" t="s">
        <v>181</v>
      </c>
      <c r="F45" s="118" t="s">
        <v>182</v>
      </c>
      <c r="G45" s="118" t="s">
        <v>183</v>
      </c>
      <c r="H45" s="161">
        <f t="shared" si="3"/>
        <v>1</v>
      </c>
      <c r="I45" s="1"/>
      <c r="J45" s="289"/>
      <c r="K45" s="179"/>
      <c r="L45" s="179"/>
      <c r="M45" s="179"/>
      <c r="N45" s="181" t="str">
        <f t="shared" si="1"/>
        <v>Expansionist</v>
      </c>
      <c r="O45" s="60" t="str">
        <f t="shared" si="2"/>
        <v>Exp</v>
      </c>
      <c r="P45" s="1"/>
      <c r="Q45" s="1"/>
      <c r="R45" s="1"/>
      <c r="S45" s="1"/>
      <c r="V45" s="1"/>
      <c r="W45" s="1"/>
      <c r="Y45" s="1"/>
      <c r="Z45" s="1"/>
      <c r="AA45" s="1"/>
    </row>
    <row r="46" spans="2:27" ht="13.2" x14ac:dyDescent="0.25">
      <c r="B46" s="160" t="s">
        <v>5</v>
      </c>
      <c r="C46" s="89" t="s">
        <v>13</v>
      </c>
      <c r="D46" s="89" t="s">
        <v>184</v>
      </c>
      <c r="E46" s="126" t="s">
        <v>185</v>
      </c>
      <c r="F46" s="118" t="s">
        <v>186</v>
      </c>
      <c r="G46" s="118" t="s">
        <v>187</v>
      </c>
      <c r="H46" s="161">
        <f t="shared" si="3"/>
        <v>8</v>
      </c>
      <c r="I46" s="1"/>
      <c r="J46" s="289"/>
      <c r="K46" s="179"/>
      <c r="L46" s="179"/>
      <c r="M46" s="179"/>
      <c r="N46" s="181" t="str">
        <f t="shared" si="1"/>
        <v>Scientist</v>
      </c>
      <c r="O46" s="60" t="str">
        <f t="shared" si="2"/>
        <v>Sci</v>
      </c>
      <c r="P46" s="1"/>
      <c r="Q46" s="1"/>
      <c r="R46" s="1"/>
      <c r="S46" s="1"/>
      <c r="V46" s="1"/>
      <c r="Y46" s="1"/>
      <c r="Z46" s="1"/>
      <c r="AA46" s="1"/>
    </row>
    <row r="47" spans="2:27" ht="13.2" x14ac:dyDescent="0.25">
      <c r="B47" s="160" t="s">
        <v>5</v>
      </c>
      <c r="C47" s="89" t="s">
        <v>11</v>
      </c>
      <c r="D47" s="89" t="s">
        <v>188</v>
      </c>
      <c r="E47" s="126" t="s">
        <v>189</v>
      </c>
      <c r="F47" s="118" t="s">
        <v>190</v>
      </c>
      <c r="G47" s="118" t="s">
        <v>191</v>
      </c>
      <c r="H47" s="161">
        <f t="shared" si="3"/>
        <v>1</v>
      </c>
      <c r="I47" s="1"/>
      <c r="J47" s="289"/>
      <c r="K47" s="179"/>
      <c r="L47" s="179"/>
      <c r="M47" s="179"/>
      <c r="N47" s="181" t="str">
        <f t="shared" si="1"/>
        <v>Militarist</v>
      </c>
      <c r="O47" s="60" t="str">
        <f>LEFT(N47,3)</f>
        <v>Mil</v>
      </c>
      <c r="P47" s="1"/>
      <c r="Q47" s="1"/>
      <c r="R47" s="1"/>
      <c r="S47" s="1"/>
      <c r="V47" s="1"/>
      <c r="Y47" s="1"/>
      <c r="Z47" s="1"/>
      <c r="AA47" s="1"/>
    </row>
    <row r="48" spans="2:27" ht="13.2" x14ac:dyDescent="0.25">
      <c r="B48" s="160" t="s">
        <v>5</v>
      </c>
      <c r="C48" s="89" t="s">
        <v>10</v>
      </c>
      <c r="D48" s="89" t="s">
        <v>192</v>
      </c>
      <c r="E48" s="126" t="s">
        <v>193</v>
      </c>
      <c r="F48" s="118" t="s">
        <v>194</v>
      </c>
      <c r="G48" s="118" t="s">
        <v>195</v>
      </c>
      <c r="H48" s="161">
        <f t="shared" si="3"/>
        <v>2</v>
      </c>
      <c r="I48" s="1"/>
      <c r="J48" s="289"/>
      <c r="K48" s="179"/>
      <c r="L48" s="179"/>
      <c r="M48" s="179"/>
      <c r="N48" s="181" t="str">
        <f t="shared" si="1"/>
        <v>Expansionist</v>
      </c>
      <c r="O48" s="60" t="str">
        <f t="shared" si="2"/>
        <v>Exp</v>
      </c>
      <c r="P48" s="1"/>
      <c r="Q48" s="1"/>
      <c r="R48" s="1"/>
      <c r="S48" s="1"/>
      <c r="V48" s="1"/>
      <c r="Y48" s="1"/>
      <c r="Z48" s="1"/>
      <c r="AA48" s="1"/>
    </row>
    <row r="49" spans="2:27" ht="13.2" x14ac:dyDescent="0.25">
      <c r="B49" s="160" t="s">
        <v>5</v>
      </c>
      <c r="C49" s="89" t="s">
        <v>9</v>
      </c>
      <c r="D49" s="89" t="s">
        <v>196</v>
      </c>
      <c r="E49" s="126" t="s">
        <v>197</v>
      </c>
      <c r="F49" s="118" t="s">
        <v>198</v>
      </c>
      <c r="G49" s="118" t="s">
        <v>199</v>
      </c>
      <c r="H49" s="161">
        <f t="shared" si="3"/>
        <v>1</v>
      </c>
      <c r="I49" s="1"/>
      <c r="J49" s="289"/>
      <c r="K49" s="179"/>
      <c r="L49" s="179"/>
      <c r="M49" s="179"/>
      <c r="N49" s="181" t="str">
        <f t="shared" si="1"/>
        <v>Agrarian</v>
      </c>
      <c r="O49" s="60" t="str">
        <f t="shared" si="2"/>
        <v>Agr</v>
      </c>
      <c r="P49" s="1"/>
      <c r="Q49" s="1"/>
      <c r="R49" s="1"/>
      <c r="V49" s="1"/>
      <c r="Y49" s="1"/>
      <c r="Z49" s="1"/>
      <c r="AA49" s="1"/>
    </row>
    <row r="50" spans="2:27" ht="13.2" x14ac:dyDescent="0.25">
      <c r="B50" s="160" t="s">
        <v>5</v>
      </c>
      <c r="C50" s="89" t="s">
        <v>8</v>
      </c>
      <c r="D50" s="89" t="s">
        <v>200</v>
      </c>
      <c r="E50" s="126" t="s">
        <v>201</v>
      </c>
      <c r="F50" s="118" t="s">
        <v>202</v>
      </c>
      <c r="G50" s="118" t="s">
        <v>203</v>
      </c>
      <c r="H50" s="161">
        <f t="shared" si="3"/>
        <v>3</v>
      </c>
      <c r="I50" s="1"/>
      <c r="J50" s="289"/>
      <c r="K50" s="179"/>
      <c r="L50" s="179"/>
      <c r="M50" s="179"/>
      <c r="N50" s="181" t="str">
        <f t="shared" si="1"/>
        <v>Builder</v>
      </c>
      <c r="O50" s="60" t="str">
        <f t="shared" si="2"/>
        <v>Bui</v>
      </c>
      <c r="P50" s="1"/>
      <c r="Q50" s="1"/>
      <c r="R50" s="1"/>
      <c r="T50" s="1"/>
      <c r="V50" s="1"/>
      <c r="Y50" s="1"/>
      <c r="Z50" s="1"/>
      <c r="AA50" s="1"/>
    </row>
    <row r="51" spans="2:27" ht="13.2" x14ac:dyDescent="0.25">
      <c r="B51" s="160" t="s">
        <v>5</v>
      </c>
      <c r="C51" s="89" t="s">
        <v>10</v>
      </c>
      <c r="D51" s="89" t="s">
        <v>204</v>
      </c>
      <c r="E51" s="126" t="s">
        <v>205</v>
      </c>
      <c r="F51" s="118" t="s">
        <v>206</v>
      </c>
      <c r="G51" s="118" t="s">
        <v>207</v>
      </c>
      <c r="H51" s="161">
        <f t="shared" si="3"/>
        <v>1</v>
      </c>
      <c r="I51" s="1"/>
      <c r="J51" s="289"/>
      <c r="K51" s="179"/>
      <c r="L51" s="179"/>
      <c r="M51" s="179"/>
      <c r="N51" s="181" t="str">
        <f t="shared" si="1"/>
        <v>Expansionist</v>
      </c>
      <c r="O51" s="60" t="str">
        <f t="shared" si="2"/>
        <v>Exp</v>
      </c>
      <c r="P51" s="1"/>
      <c r="Q51" s="1"/>
      <c r="R51" s="1"/>
      <c r="T51" s="1"/>
      <c r="V51" s="1"/>
      <c r="X51" s="1"/>
      <c r="Y51" s="1"/>
      <c r="Z51" s="1"/>
      <c r="AA51" s="1"/>
    </row>
    <row r="52" spans="2:27" ht="13.2" x14ac:dyDescent="0.25">
      <c r="B52" s="160" t="s">
        <v>5</v>
      </c>
      <c r="C52" s="89" t="s">
        <v>8</v>
      </c>
      <c r="D52" s="89" t="s">
        <v>208</v>
      </c>
      <c r="E52" s="126" t="s">
        <v>209</v>
      </c>
      <c r="F52" s="118" t="s">
        <v>210</v>
      </c>
      <c r="G52" s="118" t="s">
        <v>211</v>
      </c>
      <c r="H52" s="161">
        <f t="shared" si="3"/>
        <v>1</v>
      </c>
      <c r="I52" s="1"/>
      <c r="J52" s="289"/>
      <c r="K52" s="179"/>
      <c r="L52" s="179"/>
      <c r="M52" s="179"/>
      <c r="N52" s="181" t="str">
        <f t="shared" si="1"/>
        <v>Builder</v>
      </c>
      <c r="O52" s="60" t="str">
        <f t="shared" si="2"/>
        <v>Bui</v>
      </c>
      <c r="P52" s="1"/>
      <c r="Q52" s="1"/>
      <c r="R52" s="1"/>
      <c r="T52" s="1"/>
      <c r="V52" s="1"/>
      <c r="X52" s="1"/>
      <c r="Y52" s="1"/>
      <c r="Z52" s="1"/>
      <c r="AA52" s="1"/>
    </row>
    <row r="53" spans="2:27" ht="13.8" thickBot="1" x14ac:dyDescent="0.3">
      <c r="B53" s="162" t="s">
        <v>5</v>
      </c>
      <c r="C53" s="136" t="s">
        <v>11</v>
      </c>
      <c r="D53" s="136" t="s">
        <v>212</v>
      </c>
      <c r="E53" s="137" t="s">
        <v>213</v>
      </c>
      <c r="F53" s="138" t="s">
        <v>214</v>
      </c>
      <c r="G53" s="138" t="s">
        <v>215</v>
      </c>
      <c r="H53" s="163">
        <f t="shared" si="3"/>
        <v>1</v>
      </c>
      <c r="I53" s="1"/>
      <c r="J53" s="290"/>
      <c r="K53" s="291"/>
      <c r="L53" s="291"/>
      <c r="M53" s="291"/>
      <c r="N53" s="181" t="str">
        <f t="shared" si="1"/>
        <v>Militarist</v>
      </c>
      <c r="O53" s="60" t="str">
        <f t="shared" si="2"/>
        <v>Mil</v>
      </c>
      <c r="P53" s="1"/>
      <c r="Q53" s="1"/>
      <c r="R53" s="1"/>
      <c r="T53" s="1"/>
      <c r="V53" s="1"/>
      <c r="X53" s="1"/>
      <c r="Y53" s="1"/>
      <c r="Z53" s="1"/>
      <c r="AA53" s="1"/>
    </row>
    <row r="54" spans="2:27" ht="13.2" x14ac:dyDescent="0.25">
      <c r="B54" s="169" t="s">
        <v>6</v>
      </c>
      <c r="C54" s="128" t="s">
        <v>10</v>
      </c>
      <c r="D54" s="128" t="s">
        <v>216</v>
      </c>
      <c r="E54" s="129" t="s">
        <v>650</v>
      </c>
      <c r="F54" s="130" t="s">
        <v>217</v>
      </c>
      <c r="G54" s="130" t="s">
        <v>218</v>
      </c>
      <c r="H54" s="170">
        <f t="shared" si="3"/>
        <v>2</v>
      </c>
      <c r="I54" s="1"/>
      <c r="J54" s="292"/>
      <c r="K54" s="293"/>
      <c r="L54" s="293"/>
      <c r="M54" s="293"/>
      <c r="N54" s="181" t="str">
        <f t="shared" si="1"/>
        <v>Expansionist</v>
      </c>
      <c r="O54" s="60" t="str">
        <f t="shared" si="2"/>
        <v>Exp</v>
      </c>
      <c r="P54" s="1"/>
      <c r="Q54" s="1"/>
      <c r="R54" s="1"/>
      <c r="T54" s="1"/>
      <c r="U54" s="1"/>
      <c r="V54" s="1"/>
      <c r="X54" s="1"/>
      <c r="Y54" s="1"/>
      <c r="Z54" s="1"/>
      <c r="AA54" s="1"/>
    </row>
    <row r="55" spans="2:27" ht="13.2" x14ac:dyDescent="0.25">
      <c r="B55" s="171" t="s">
        <v>6</v>
      </c>
      <c r="C55" s="89" t="s">
        <v>8</v>
      </c>
      <c r="D55" s="89" t="s">
        <v>219</v>
      </c>
      <c r="E55" s="126" t="s">
        <v>220</v>
      </c>
      <c r="F55" s="118" t="s">
        <v>221</v>
      </c>
      <c r="G55" s="118" t="s">
        <v>222</v>
      </c>
      <c r="H55" s="172">
        <f t="shared" si="3"/>
        <v>1</v>
      </c>
      <c r="I55" s="1"/>
      <c r="J55" s="294"/>
      <c r="K55" s="180"/>
      <c r="L55" s="180"/>
      <c r="M55" s="180"/>
      <c r="N55" s="181" t="str">
        <f t="shared" si="1"/>
        <v>Builder</v>
      </c>
      <c r="O55" s="60" t="str">
        <f t="shared" si="2"/>
        <v>Bui</v>
      </c>
      <c r="P55" s="1"/>
      <c r="Q55" s="1"/>
      <c r="R55" s="1"/>
      <c r="T55" s="1"/>
      <c r="U55" s="1"/>
      <c r="V55" s="1"/>
      <c r="W55" s="1"/>
      <c r="X55" s="1"/>
      <c r="Y55" s="1"/>
      <c r="Z55" s="1"/>
      <c r="AA55" s="1"/>
    </row>
    <row r="56" spans="2:27" ht="13.2" x14ac:dyDescent="0.25">
      <c r="B56" s="171" t="s">
        <v>6</v>
      </c>
      <c r="C56" s="89" t="s">
        <v>9</v>
      </c>
      <c r="D56" s="89" t="s">
        <v>223</v>
      </c>
      <c r="E56" s="126" t="s">
        <v>224</v>
      </c>
      <c r="F56" s="118" t="s">
        <v>225</v>
      </c>
      <c r="G56" s="118" t="s">
        <v>226</v>
      </c>
      <c r="H56" s="172">
        <f t="shared" si="3"/>
        <v>1</v>
      </c>
      <c r="I56" s="1"/>
      <c r="J56" s="294"/>
      <c r="K56" s="180"/>
      <c r="L56" s="180"/>
      <c r="M56" s="180"/>
      <c r="N56" s="181" t="str">
        <f>C56</f>
        <v>Agrarian</v>
      </c>
      <c r="O56" s="60" t="str">
        <f t="shared" si="2"/>
        <v>Agr</v>
      </c>
      <c r="P56" s="1"/>
      <c r="Q56" s="1"/>
      <c r="R56" s="1"/>
      <c r="U56" s="1"/>
      <c r="V56" s="1"/>
      <c r="W56" s="1"/>
      <c r="X56" s="1"/>
      <c r="Y56" s="1"/>
      <c r="Z56" s="1"/>
      <c r="AA56" s="1"/>
    </row>
    <row r="57" spans="2:27" ht="13.2" x14ac:dyDescent="0.25">
      <c r="B57" s="171" t="s">
        <v>6</v>
      </c>
      <c r="C57" s="89" t="s">
        <v>12</v>
      </c>
      <c r="D57" s="89" t="s">
        <v>227</v>
      </c>
      <c r="E57" s="126" t="s">
        <v>228</v>
      </c>
      <c r="F57" s="118" t="s">
        <v>229</v>
      </c>
      <c r="G57" s="118" t="s">
        <v>230</v>
      </c>
      <c r="H57" s="172">
        <f t="shared" si="3"/>
        <v>1</v>
      </c>
      <c r="I57" s="1"/>
      <c r="J57" s="294"/>
      <c r="K57" s="180"/>
      <c r="L57" s="180"/>
      <c r="M57" s="180"/>
      <c r="N57" s="181" t="str">
        <f t="shared" si="1"/>
        <v>Merchant</v>
      </c>
      <c r="O57" s="60" t="str">
        <f t="shared" si="2"/>
        <v>Mer</v>
      </c>
      <c r="P57" s="1"/>
      <c r="Q57" s="1"/>
      <c r="R57" s="1"/>
      <c r="U57" s="1"/>
      <c r="V57" s="1"/>
      <c r="W57" s="1"/>
      <c r="X57" s="1"/>
      <c r="Y57" s="1"/>
      <c r="Z57" s="1"/>
      <c r="AA57" s="1"/>
    </row>
    <row r="58" spans="2:27" ht="13.2" x14ac:dyDescent="0.25">
      <c r="B58" s="171" t="s">
        <v>6</v>
      </c>
      <c r="C58" s="89" t="s">
        <v>538</v>
      </c>
      <c r="D58" s="89" t="s">
        <v>231</v>
      </c>
      <c r="E58" s="126" t="s">
        <v>232</v>
      </c>
      <c r="F58" s="118" t="s">
        <v>233</v>
      </c>
      <c r="G58" s="118" t="s">
        <v>234</v>
      </c>
      <c r="H58" s="172">
        <f t="shared" si="3"/>
        <v>3</v>
      </c>
      <c r="I58" s="1"/>
      <c r="J58" s="294"/>
      <c r="K58" s="180"/>
      <c r="L58" s="180"/>
      <c r="M58" s="180"/>
      <c r="N58" s="181" t="str">
        <f t="shared" si="1"/>
        <v>Aesthete</v>
      </c>
      <c r="O58" s="60" t="str">
        <f t="shared" si="2"/>
        <v>Aes</v>
      </c>
      <c r="P58" s="1"/>
      <c r="Q58" s="1"/>
      <c r="R58" s="1"/>
      <c r="U58" s="1"/>
      <c r="V58" s="1"/>
      <c r="W58" s="1"/>
      <c r="X58" s="1"/>
      <c r="Y58" s="1"/>
      <c r="Z58" s="1"/>
      <c r="AA58" s="1"/>
    </row>
    <row r="59" spans="2:27" ht="13.2" x14ac:dyDescent="0.25">
      <c r="B59" s="171" t="s">
        <v>6</v>
      </c>
      <c r="C59" s="89" t="s">
        <v>538</v>
      </c>
      <c r="D59" s="89" t="s">
        <v>235</v>
      </c>
      <c r="E59" s="126" t="s">
        <v>236</v>
      </c>
      <c r="F59" s="118" t="s">
        <v>237</v>
      </c>
      <c r="G59" s="118" t="s">
        <v>238</v>
      </c>
      <c r="H59" s="172">
        <f t="shared" si="3"/>
        <v>3</v>
      </c>
      <c r="I59" s="1"/>
      <c r="J59" s="294"/>
      <c r="K59" s="180"/>
      <c r="L59" s="180"/>
      <c r="M59" s="180"/>
      <c r="N59" s="181" t="str">
        <f t="shared" si="1"/>
        <v>Aesthete</v>
      </c>
      <c r="O59" s="60" t="str">
        <f t="shared" si="2"/>
        <v>Aes</v>
      </c>
      <c r="P59" s="1"/>
      <c r="Q59" s="1"/>
      <c r="R59" s="1"/>
      <c r="U59" s="1"/>
      <c r="V59" s="1"/>
      <c r="W59" s="1"/>
      <c r="X59" s="1"/>
      <c r="Y59" s="1"/>
      <c r="Z59" s="1"/>
      <c r="AA59" s="1"/>
    </row>
    <row r="60" spans="2:27" ht="13.2" x14ac:dyDescent="0.25">
      <c r="B60" s="171" t="s">
        <v>6</v>
      </c>
      <c r="C60" s="89" t="s">
        <v>13</v>
      </c>
      <c r="D60" s="89" t="s">
        <v>239</v>
      </c>
      <c r="E60" s="126" t="s">
        <v>651</v>
      </c>
      <c r="F60" s="118" t="s">
        <v>240</v>
      </c>
      <c r="G60" s="118" t="s">
        <v>241</v>
      </c>
      <c r="H60" s="172">
        <f t="shared" si="3"/>
        <v>3</v>
      </c>
      <c r="I60" s="1"/>
      <c r="J60" s="294"/>
      <c r="K60" s="180"/>
      <c r="L60" s="180"/>
      <c r="M60" s="180"/>
      <c r="N60" s="181" t="str">
        <f t="shared" si="1"/>
        <v>Scientist</v>
      </c>
      <c r="O60" s="60" t="str">
        <f t="shared" si="2"/>
        <v>Sci</v>
      </c>
      <c r="P60" s="1"/>
      <c r="Q60" s="1"/>
      <c r="R60" s="1"/>
      <c r="U60" s="1"/>
      <c r="V60" s="1"/>
      <c r="W60" s="1"/>
      <c r="X60" s="1"/>
      <c r="Y60" s="1"/>
      <c r="Z60" s="1"/>
      <c r="AA60" s="1"/>
    </row>
    <row r="61" spans="2:27" ht="13.2" x14ac:dyDescent="0.25">
      <c r="B61" s="171" t="s">
        <v>6</v>
      </c>
      <c r="C61" s="89" t="s">
        <v>10</v>
      </c>
      <c r="D61" s="89" t="s">
        <v>242</v>
      </c>
      <c r="E61" s="126" t="s">
        <v>243</v>
      </c>
      <c r="F61" s="118" t="s">
        <v>244</v>
      </c>
      <c r="G61" s="118" t="s">
        <v>245</v>
      </c>
      <c r="H61" s="172">
        <f t="shared" si="3"/>
        <v>1</v>
      </c>
      <c r="I61" s="1"/>
      <c r="J61" s="294"/>
      <c r="K61" s="180"/>
      <c r="L61" s="180"/>
      <c r="M61" s="180"/>
      <c r="N61" s="181" t="str">
        <f t="shared" si="1"/>
        <v>Expansionist</v>
      </c>
      <c r="O61" s="60" t="str">
        <f t="shared" si="2"/>
        <v>Exp</v>
      </c>
      <c r="P61" s="1"/>
      <c r="Q61" s="1"/>
      <c r="R61" s="1"/>
      <c r="S61" s="1"/>
      <c r="U61" s="1"/>
      <c r="V61" s="1"/>
      <c r="W61" s="1"/>
      <c r="X61" s="1"/>
      <c r="Y61" s="1"/>
      <c r="Z61" s="1"/>
      <c r="AA61" s="1"/>
    </row>
    <row r="62" spans="2:27" ht="13.2" x14ac:dyDescent="0.25">
      <c r="B62" s="171" t="s">
        <v>6</v>
      </c>
      <c r="C62" s="89" t="s">
        <v>13</v>
      </c>
      <c r="D62" s="89" t="s">
        <v>246</v>
      </c>
      <c r="E62" s="126" t="s">
        <v>247</v>
      </c>
      <c r="F62" s="118" t="s">
        <v>248</v>
      </c>
      <c r="G62" s="118" t="s">
        <v>249</v>
      </c>
      <c r="H62" s="172">
        <f t="shared" si="3"/>
        <v>4</v>
      </c>
      <c r="I62" s="1"/>
      <c r="J62" s="294"/>
      <c r="K62" s="180"/>
      <c r="L62" s="180"/>
      <c r="M62" s="180"/>
      <c r="N62" s="181" t="str">
        <f t="shared" si="1"/>
        <v>Scientist</v>
      </c>
      <c r="O62" s="60" t="str">
        <f t="shared" si="2"/>
        <v>Sci</v>
      </c>
      <c r="P62" s="1"/>
      <c r="Q62" s="1"/>
      <c r="R62" s="1"/>
      <c r="S62" s="1"/>
      <c r="U62" s="1"/>
      <c r="V62" s="1"/>
      <c r="W62" s="1"/>
      <c r="X62" s="1"/>
      <c r="Y62" s="1"/>
      <c r="Z62" s="1"/>
      <c r="AA62" s="1"/>
    </row>
    <row r="63" spans="2:27" ht="13.8" thickBot="1" x14ac:dyDescent="0.3">
      <c r="B63" s="173" t="s">
        <v>6</v>
      </c>
      <c r="C63" s="95" t="s">
        <v>9</v>
      </c>
      <c r="D63" s="95" t="s">
        <v>250</v>
      </c>
      <c r="E63" s="134" t="s">
        <v>251</v>
      </c>
      <c r="F63" s="119" t="s">
        <v>252</v>
      </c>
      <c r="G63" s="119" t="s">
        <v>253</v>
      </c>
      <c r="H63" s="174">
        <f t="shared" si="3"/>
        <v>2</v>
      </c>
      <c r="I63" s="1"/>
      <c r="J63" s="295"/>
      <c r="K63" s="296"/>
      <c r="L63" s="296"/>
      <c r="M63" s="296"/>
      <c r="N63" s="181" t="str">
        <f t="shared" si="1"/>
        <v>Agrarian</v>
      </c>
      <c r="O63" s="60" t="str">
        <f t="shared" si="2"/>
        <v>Agr</v>
      </c>
      <c r="P63" s="1"/>
      <c r="Q63" s="1"/>
      <c r="R63" s="1"/>
      <c r="S63" s="1"/>
      <c r="U63" s="1"/>
      <c r="V63" s="1"/>
      <c r="W63" s="1"/>
      <c r="X63" s="1"/>
      <c r="Y63" s="1"/>
      <c r="Z63" s="1"/>
      <c r="AA63" s="1"/>
    </row>
    <row r="64" spans="2:27" ht="13.8" thickBot="1" x14ac:dyDescent="0.3">
      <c r="B64" s="164" t="s">
        <v>254</v>
      </c>
      <c r="C64" s="165" t="s">
        <v>9</v>
      </c>
      <c r="D64" s="165" t="s">
        <v>255</v>
      </c>
      <c r="E64" s="166" t="s">
        <v>256</v>
      </c>
      <c r="F64" s="167" t="s">
        <v>256</v>
      </c>
      <c r="G64" s="264" t="s">
        <v>558</v>
      </c>
      <c r="H64" s="263">
        <f>SUM(H4:H63)/6</f>
        <v>21</v>
      </c>
      <c r="I64" s="1"/>
      <c r="J64" s="17"/>
      <c r="K64" s="17"/>
      <c r="L64" s="17"/>
      <c r="M64" s="17"/>
      <c r="N64" s="300" t="str">
        <f t="shared" si="1"/>
        <v>Agrarian</v>
      </c>
      <c r="O64" s="120" t="str">
        <f t="shared" si="2"/>
        <v>Agr</v>
      </c>
      <c r="P64" s="1"/>
      <c r="Q64" s="1"/>
      <c r="R64" s="1"/>
      <c r="S64" s="1"/>
      <c r="U64" s="1"/>
      <c r="V64" s="1"/>
      <c r="W64" s="1"/>
      <c r="X64" s="1"/>
      <c r="Y64" s="1"/>
      <c r="Z64" s="1"/>
      <c r="AA64" s="1"/>
    </row>
    <row r="65" spans="2:27" ht="13.2" x14ac:dyDescent="0.25">
      <c r="B65" s="1"/>
      <c r="C65" s="26"/>
      <c r="D65" s="26"/>
      <c r="E65" s="1"/>
      <c r="F65" s="1"/>
      <c r="G65" s="1"/>
      <c r="H65" s="114"/>
      <c r="I65" s="1"/>
      <c r="J65" s="1"/>
      <c r="K65" s="1"/>
      <c r="L65" s="1"/>
      <c r="M65" s="1"/>
      <c r="N65" s="1"/>
      <c r="O65" s="1"/>
      <c r="P65" s="1"/>
      <c r="Q65" s="1"/>
      <c r="R65" s="1"/>
      <c r="T65" s="1"/>
      <c r="U65" s="1"/>
      <c r="V65" s="1"/>
      <c r="W65" s="1"/>
      <c r="X65" s="1"/>
      <c r="Y65" s="1"/>
      <c r="Z65" s="1"/>
      <c r="AA65" s="1"/>
    </row>
    <row r="66" spans="2:27" ht="13.8" thickBot="1" x14ac:dyDescent="0.3">
      <c r="B66" s="1"/>
      <c r="C66" s="26"/>
      <c r="D66" s="26"/>
      <c r="E66" s="26"/>
      <c r="F66" s="1"/>
      <c r="G66" s="1"/>
      <c r="H66" s="114"/>
      <c r="I66" s="1"/>
      <c r="J66" s="1"/>
      <c r="K66" s="1"/>
      <c r="L66" s="1"/>
      <c r="M66" s="1"/>
      <c r="N66" s="1"/>
      <c r="O66" s="1"/>
      <c r="P66" s="1"/>
      <c r="Q66" s="1"/>
      <c r="R66" s="1"/>
      <c r="U66" s="1"/>
      <c r="V66" s="1"/>
      <c r="W66" s="1"/>
      <c r="X66" s="1"/>
      <c r="Y66" s="1"/>
      <c r="Z66" s="1"/>
      <c r="AA66" s="1"/>
    </row>
    <row r="67" spans="2:27" ht="13.8" thickBot="1" x14ac:dyDescent="0.3">
      <c r="E67" s="26"/>
      <c r="F67" s="121" t="s">
        <v>16</v>
      </c>
      <c r="G67" s="122" t="s">
        <v>0</v>
      </c>
      <c r="H67" s="123" t="s">
        <v>555</v>
      </c>
      <c r="I67" s="1"/>
      <c r="J67" s="1"/>
      <c r="K67" s="1"/>
      <c r="L67" s="1"/>
      <c r="M67" s="1"/>
      <c r="N67" s="1"/>
      <c r="O67" s="1"/>
      <c r="P67" s="1"/>
      <c r="Q67" s="1"/>
      <c r="R67" s="1"/>
      <c r="U67" s="1"/>
      <c r="V67" s="1"/>
      <c r="W67" s="1"/>
      <c r="X67" s="1"/>
      <c r="Y67" s="1"/>
      <c r="Z67" s="1"/>
      <c r="AA67" s="1"/>
    </row>
    <row r="68" spans="2:27" ht="13.2" x14ac:dyDescent="0.25">
      <c r="E68" s="26"/>
      <c r="F68" s="127" t="s">
        <v>1</v>
      </c>
      <c r="G68" s="128" t="s">
        <v>10</v>
      </c>
      <c r="H68" s="131">
        <f>H4</f>
        <v>3</v>
      </c>
      <c r="I68" s="1"/>
      <c r="J68" s="533" t="s">
        <v>1</v>
      </c>
      <c r="K68" s="128" t="s">
        <v>8</v>
      </c>
      <c r="L68" s="367">
        <f>H70</f>
        <v>4</v>
      </c>
      <c r="M68" s="356" t="str">
        <f>LEFT(K68,3)</f>
        <v>Bui</v>
      </c>
      <c r="N68" s="182"/>
      <c r="O68" s="182"/>
      <c r="P68" s="182"/>
      <c r="Q68" s="182"/>
      <c r="R68" s="1"/>
      <c r="U68" s="1"/>
      <c r="V68" s="1"/>
      <c r="W68" s="1"/>
      <c r="X68" s="1"/>
      <c r="Y68" s="1"/>
      <c r="Z68" s="1"/>
      <c r="AA68" s="1"/>
    </row>
    <row r="69" spans="2:27" ht="13.2" x14ac:dyDescent="0.25">
      <c r="E69" s="26"/>
      <c r="F69" s="132" t="s">
        <v>1</v>
      </c>
      <c r="G69" s="89" t="s">
        <v>13</v>
      </c>
      <c r="H69" s="133">
        <f t="shared" ref="H69:H77" si="5">H5</f>
        <v>2</v>
      </c>
      <c r="I69" s="1"/>
      <c r="J69" s="534"/>
      <c r="K69" s="89" t="s">
        <v>9</v>
      </c>
      <c r="L69" s="125">
        <f>H71</f>
        <v>2</v>
      </c>
      <c r="M69" s="368" t="str">
        <f t="shared" ref="M69:M74" si="6">LEFT(K69,3)</f>
        <v>Agr</v>
      </c>
      <c r="N69" s="182"/>
      <c r="O69" s="182"/>
      <c r="P69" s="182"/>
      <c r="Q69" s="182"/>
      <c r="R69" s="1"/>
      <c r="U69" s="1"/>
      <c r="V69" s="1"/>
      <c r="W69" s="1"/>
      <c r="X69" s="1"/>
      <c r="Y69" s="1"/>
      <c r="Z69" s="1"/>
      <c r="AA69" s="1"/>
    </row>
    <row r="70" spans="2:27" ht="13.2" x14ac:dyDescent="0.25">
      <c r="E70" s="26"/>
      <c r="F70" s="132" t="s">
        <v>1</v>
      </c>
      <c r="G70" s="89" t="s">
        <v>8</v>
      </c>
      <c r="H70" s="133">
        <f t="shared" si="5"/>
        <v>4</v>
      </c>
      <c r="I70" s="1"/>
      <c r="J70" s="534"/>
      <c r="K70" s="89" t="s">
        <v>10</v>
      </c>
      <c r="L70" s="125">
        <f>H68</f>
        <v>3</v>
      </c>
      <c r="M70" s="368" t="str">
        <f t="shared" si="6"/>
        <v>Exp</v>
      </c>
      <c r="N70" s="182"/>
      <c r="O70" s="182"/>
      <c r="P70" s="182"/>
      <c r="Q70" s="182"/>
      <c r="R70" s="1"/>
      <c r="U70" s="1"/>
      <c r="V70" s="1"/>
      <c r="W70" s="1"/>
      <c r="X70" s="1"/>
      <c r="Y70" s="1"/>
      <c r="Z70" s="1"/>
      <c r="AA70" s="1"/>
    </row>
    <row r="71" spans="2:27" ht="13.2" x14ac:dyDescent="0.25">
      <c r="E71" s="26"/>
      <c r="F71" s="132" t="s">
        <v>1</v>
      </c>
      <c r="G71" s="89" t="s">
        <v>9</v>
      </c>
      <c r="H71" s="133">
        <f t="shared" si="5"/>
        <v>2</v>
      </c>
      <c r="I71" s="1"/>
      <c r="J71" s="534"/>
      <c r="K71" s="89" t="s">
        <v>11</v>
      </c>
      <c r="L71" s="125">
        <f>H72+H73</f>
        <v>2</v>
      </c>
      <c r="M71" s="368" t="str">
        <f t="shared" si="6"/>
        <v>Mil</v>
      </c>
      <c r="N71" s="182"/>
      <c r="O71" s="182"/>
      <c r="P71" s="182"/>
      <c r="Q71" s="182"/>
      <c r="R71" s="1"/>
      <c r="U71" s="1"/>
      <c r="V71" s="1"/>
      <c r="W71" s="1"/>
      <c r="X71" s="1"/>
      <c r="Y71" s="1"/>
      <c r="Z71" s="1"/>
      <c r="AA71" s="1"/>
    </row>
    <row r="72" spans="2:27" ht="13.2" x14ac:dyDescent="0.25">
      <c r="E72" s="26"/>
      <c r="F72" s="132" t="s">
        <v>1</v>
      </c>
      <c r="G72" s="89" t="s">
        <v>11</v>
      </c>
      <c r="H72" s="133">
        <f t="shared" si="5"/>
        <v>1</v>
      </c>
      <c r="I72" s="1"/>
      <c r="J72" s="534"/>
      <c r="K72" s="89" t="s">
        <v>538</v>
      </c>
      <c r="L72" s="125">
        <f>H75+H77</f>
        <v>3</v>
      </c>
      <c r="M72" s="368" t="str">
        <f t="shared" si="6"/>
        <v>Aes</v>
      </c>
      <c r="N72" s="182"/>
      <c r="O72" s="182"/>
      <c r="P72" s="182"/>
      <c r="Q72" s="182"/>
      <c r="R72" s="1"/>
      <c r="U72" s="1"/>
      <c r="V72" s="1"/>
      <c r="W72" s="1"/>
      <c r="X72" s="1"/>
      <c r="Y72" s="1"/>
      <c r="Z72" s="1"/>
      <c r="AA72" s="1"/>
    </row>
    <row r="73" spans="2:27" ht="13.2" x14ac:dyDescent="0.25">
      <c r="E73" s="26"/>
      <c r="F73" s="132" t="s">
        <v>1</v>
      </c>
      <c r="G73" s="89" t="s">
        <v>11</v>
      </c>
      <c r="H73" s="133">
        <f t="shared" si="5"/>
        <v>1</v>
      </c>
      <c r="I73" s="1"/>
      <c r="J73" s="534"/>
      <c r="K73" s="89" t="s">
        <v>12</v>
      </c>
      <c r="L73" s="125">
        <f>H74+H76</f>
        <v>5</v>
      </c>
      <c r="M73" s="368" t="str">
        <f t="shared" si="6"/>
        <v>Mer</v>
      </c>
      <c r="N73" s="182"/>
      <c r="O73" s="182"/>
      <c r="P73" s="182"/>
      <c r="Q73" s="182"/>
      <c r="R73" s="1"/>
      <c r="U73" s="1"/>
      <c r="V73" s="1"/>
      <c r="W73" s="1"/>
      <c r="X73" s="1"/>
      <c r="Y73" s="1"/>
      <c r="Z73" s="1"/>
      <c r="AA73" s="1"/>
    </row>
    <row r="74" spans="2:27" ht="13.2" x14ac:dyDescent="0.25">
      <c r="E74" s="26"/>
      <c r="F74" s="132" t="s">
        <v>1</v>
      </c>
      <c r="G74" s="89" t="s">
        <v>12</v>
      </c>
      <c r="H74" s="133">
        <f t="shared" si="5"/>
        <v>1</v>
      </c>
      <c r="I74" s="1"/>
      <c r="J74" s="534"/>
      <c r="K74" s="89" t="s">
        <v>13</v>
      </c>
      <c r="L74" s="125">
        <f>H69</f>
        <v>2</v>
      </c>
      <c r="M74" s="368" t="str">
        <f t="shared" si="6"/>
        <v>Sci</v>
      </c>
      <c r="N74" s="182"/>
      <c r="O74" s="182"/>
      <c r="P74" s="182"/>
      <c r="Q74" s="182"/>
      <c r="R74" s="1"/>
      <c r="U74" s="1"/>
      <c r="V74" s="1"/>
      <c r="W74" s="1"/>
      <c r="X74" s="1"/>
      <c r="Y74" s="1"/>
      <c r="Z74" s="1"/>
      <c r="AA74" s="1"/>
    </row>
    <row r="75" spans="2:27" ht="13.8" thickBot="1" x14ac:dyDescent="0.3">
      <c r="C75" s="26"/>
      <c r="D75" s="26"/>
      <c r="E75" s="26"/>
      <c r="F75" s="132" t="s">
        <v>1</v>
      </c>
      <c r="G75" s="89" t="s">
        <v>538</v>
      </c>
      <c r="H75" s="133">
        <f t="shared" si="5"/>
        <v>2</v>
      </c>
      <c r="I75" s="1"/>
      <c r="J75" s="535"/>
      <c r="K75" s="57" t="s">
        <v>535</v>
      </c>
      <c r="L75" s="57">
        <f>SUM(L68:L74)</f>
        <v>21</v>
      </c>
      <c r="M75" s="379"/>
      <c r="N75" s="182"/>
      <c r="O75" s="182"/>
      <c r="P75" s="182"/>
      <c r="Q75" s="182"/>
      <c r="R75" s="1"/>
      <c r="T75" s="1"/>
      <c r="U75" s="1"/>
      <c r="V75" s="1"/>
      <c r="W75" s="1"/>
      <c r="X75" s="1"/>
      <c r="Y75" s="1"/>
      <c r="Z75" s="1"/>
      <c r="AA75" s="1"/>
    </row>
    <row r="76" spans="2:27" ht="13.2" x14ac:dyDescent="0.25">
      <c r="C76" s="26"/>
      <c r="D76" s="26"/>
      <c r="E76" s="26"/>
      <c r="F76" s="132" t="s">
        <v>1</v>
      </c>
      <c r="G76" s="89" t="s">
        <v>12</v>
      </c>
      <c r="H76" s="133">
        <f t="shared" si="5"/>
        <v>4</v>
      </c>
      <c r="I76" s="1"/>
      <c r="J76" s="1"/>
      <c r="K76" s="1"/>
      <c r="L76" s="1"/>
      <c r="M76" s="1"/>
      <c r="N76" s="182"/>
      <c r="O76" s="182"/>
      <c r="P76" s="182"/>
      <c r="Q76" s="182"/>
      <c r="R76" s="1"/>
      <c r="T76" s="1"/>
      <c r="U76" s="1"/>
      <c r="V76" s="1"/>
      <c r="W76" s="1"/>
      <c r="X76" s="1"/>
      <c r="Y76" s="1"/>
      <c r="Z76" s="1"/>
      <c r="AA76" s="1"/>
    </row>
    <row r="77" spans="2:27" ht="13.8" thickBot="1" x14ac:dyDescent="0.3">
      <c r="C77" s="26"/>
      <c r="D77" s="26"/>
      <c r="E77" s="26"/>
      <c r="F77" s="135" t="s">
        <v>1</v>
      </c>
      <c r="G77" s="136" t="s">
        <v>538</v>
      </c>
      <c r="H77" s="139">
        <f t="shared" si="5"/>
        <v>1</v>
      </c>
      <c r="I77" s="1"/>
      <c r="J77" s="1"/>
      <c r="K77" s="1"/>
      <c r="L77" s="1"/>
      <c r="M77" s="1"/>
      <c r="N77" s="1"/>
      <c r="O77" s="1"/>
      <c r="P77" s="1"/>
      <c r="Q77" s="1"/>
      <c r="R77" s="1"/>
      <c r="T77" s="1"/>
      <c r="U77" s="1"/>
      <c r="V77" s="1"/>
      <c r="W77" s="1"/>
      <c r="X77" s="1"/>
      <c r="Y77" s="1"/>
      <c r="Z77" s="1"/>
      <c r="AA77" s="1"/>
    </row>
    <row r="78" spans="2:27" ht="13.2" x14ac:dyDescent="0.25">
      <c r="E78" s="26"/>
      <c r="F78" s="140" t="s">
        <v>2</v>
      </c>
      <c r="G78" s="128" t="s">
        <v>10</v>
      </c>
      <c r="H78" s="141">
        <f>H14</f>
        <v>7</v>
      </c>
      <c r="I78" s="1"/>
      <c r="J78" s="536" t="s">
        <v>2</v>
      </c>
      <c r="K78" s="128" t="s">
        <v>8</v>
      </c>
      <c r="L78" s="370">
        <f>H86</f>
        <v>2</v>
      </c>
      <c r="M78" s="357" t="str">
        <f>LEFT(K78,3)</f>
        <v>Bui</v>
      </c>
      <c r="N78" s="183"/>
      <c r="O78" s="183"/>
      <c r="P78" s="183"/>
      <c r="Q78" s="183"/>
      <c r="R78" s="1"/>
      <c r="T78" s="1"/>
      <c r="U78" s="1"/>
      <c r="V78" s="1"/>
      <c r="W78" s="1"/>
      <c r="X78" s="1"/>
      <c r="Y78" s="1"/>
      <c r="Z78" s="1"/>
      <c r="AA78" s="1"/>
    </row>
    <row r="79" spans="2:27" ht="13.2" x14ac:dyDescent="0.25">
      <c r="E79" s="26"/>
      <c r="F79" s="142" t="s">
        <v>2</v>
      </c>
      <c r="G79" s="89" t="s">
        <v>12</v>
      </c>
      <c r="H79" s="143">
        <f t="shared" ref="H79:H87" si="7">H15</f>
        <v>1</v>
      </c>
      <c r="I79" s="1"/>
      <c r="J79" s="537"/>
      <c r="K79" s="89" t="s">
        <v>9</v>
      </c>
      <c r="L79" s="369">
        <f>H81</f>
        <v>1</v>
      </c>
      <c r="M79" s="358" t="str">
        <f t="shared" ref="M79:M84" si="8">LEFT(K79,3)</f>
        <v>Agr</v>
      </c>
      <c r="N79" s="183"/>
      <c r="O79" s="183"/>
      <c r="P79" s="183"/>
      <c r="Q79" s="183"/>
      <c r="R79" s="1"/>
      <c r="T79" s="1"/>
      <c r="U79" s="1"/>
      <c r="V79" s="1"/>
      <c r="W79" s="1"/>
      <c r="X79" s="1"/>
      <c r="Y79" s="1"/>
      <c r="Z79" s="1"/>
      <c r="AA79" s="1"/>
    </row>
    <row r="80" spans="2:27" ht="13.2" x14ac:dyDescent="0.25">
      <c r="E80" s="26"/>
      <c r="F80" s="142" t="s">
        <v>2</v>
      </c>
      <c r="G80" s="89" t="s">
        <v>12</v>
      </c>
      <c r="H80" s="143">
        <f t="shared" si="7"/>
        <v>1</v>
      </c>
      <c r="I80" s="1"/>
      <c r="J80" s="537"/>
      <c r="K80" s="89" t="s">
        <v>10</v>
      </c>
      <c r="L80" s="369">
        <f>H78+H87</f>
        <v>8</v>
      </c>
      <c r="M80" s="358" t="str">
        <f t="shared" si="8"/>
        <v>Exp</v>
      </c>
      <c r="N80" s="183"/>
      <c r="O80" s="183"/>
      <c r="P80" s="183"/>
      <c r="Q80" s="183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3:27" ht="13.2" x14ac:dyDescent="0.25">
      <c r="E81" s="26"/>
      <c r="F81" s="142" t="s">
        <v>2</v>
      </c>
      <c r="G81" s="89" t="s">
        <v>9</v>
      </c>
      <c r="H81" s="143">
        <f t="shared" si="7"/>
        <v>1</v>
      </c>
      <c r="I81" s="1"/>
      <c r="J81" s="537"/>
      <c r="K81" s="89" t="s">
        <v>11</v>
      </c>
      <c r="L81" s="369">
        <f>H82+H84</f>
        <v>2</v>
      </c>
      <c r="M81" s="358" t="str">
        <f t="shared" si="8"/>
        <v>Mil</v>
      </c>
      <c r="N81" s="183"/>
      <c r="O81" s="183"/>
      <c r="P81" s="183"/>
      <c r="Q81" s="183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3:27" ht="13.2" x14ac:dyDescent="0.25">
      <c r="E82" s="26"/>
      <c r="F82" s="142" t="s">
        <v>2</v>
      </c>
      <c r="G82" s="89" t="s">
        <v>11</v>
      </c>
      <c r="H82" s="143">
        <f t="shared" si="7"/>
        <v>1</v>
      </c>
      <c r="I82" s="1"/>
      <c r="J82" s="537"/>
      <c r="K82" s="89" t="s">
        <v>538</v>
      </c>
      <c r="L82" s="369">
        <f>H85</f>
        <v>3</v>
      </c>
      <c r="M82" s="358" t="str">
        <f t="shared" si="8"/>
        <v>Aes</v>
      </c>
      <c r="N82" s="183"/>
      <c r="O82" s="183"/>
      <c r="P82" s="183"/>
      <c r="Q82" s="183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3:27" ht="13.2" x14ac:dyDescent="0.25">
      <c r="E83" s="26"/>
      <c r="F83" s="142" t="s">
        <v>2</v>
      </c>
      <c r="G83" s="89" t="s">
        <v>13</v>
      </c>
      <c r="H83" s="143">
        <f t="shared" si="7"/>
        <v>3</v>
      </c>
      <c r="I83" s="1"/>
      <c r="J83" s="537"/>
      <c r="K83" s="89" t="s">
        <v>12</v>
      </c>
      <c r="L83" s="369">
        <f>H79+H80</f>
        <v>2</v>
      </c>
      <c r="M83" s="358" t="str">
        <f t="shared" si="8"/>
        <v>Mer</v>
      </c>
      <c r="N83" s="183"/>
      <c r="O83" s="183"/>
      <c r="P83" s="183"/>
      <c r="Q83" s="183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3:27" ht="13.2" x14ac:dyDescent="0.25">
      <c r="E84" s="26"/>
      <c r="F84" s="142" t="s">
        <v>2</v>
      </c>
      <c r="G84" s="89" t="s">
        <v>11</v>
      </c>
      <c r="H84" s="143">
        <f t="shared" si="7"/>
        <v>1</v>
      </c>
      <c r="I84" s="1"/>
      <c r="J84" s="537"/>
      <c r="K84" s="89" t="s">
        <v>13</v>
      </c>
      <c r="L84" s="369">
        <f>H83</f>
        <v>3</v>
      </c>
      <c r="M84" s="358" t="str">
        <f t="shared" si="8"/>
        <v>Sci</v>
      </c>
      <c r="N84" s="183"/>
      <c r="O84" s="183"/>
      <c r="P84" s="183"/>
      <c r="Q84" s="183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3:27" ht="13.8" thickBot="1" x14ac:dyDescent="0.3">
      <c r="E85" s="26"/>
      <c r="F85" s="142" t="s">
        <v>2</v>
      </c>
      <c r="G85" s="89" t="s">
        <v>538</v>
      </c>
      <c r="H85" s="143">
        <f t="shared" si="7"/>
        <v>3</v>
      </c>
      <c r="I85" s="1"/>
      <c r="J85" s="538"/>
      <c r="K85" s="57" t="s">
        <v>535</v>
      </c>
      <c r="L85" s="57">
        <f>SUM(L78:L84)</f>
        <v>21</v>
      </c>
      <c r="M85" s="379"/>
      <c r="N85" s="183"/>
      <c r="O85" s="183"/>
      <c r="P85" s="183"/>
      <c r="Q85" s="183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3:27" ht="13.2" x14ac:dyDescent="0.25">
      <c r="C86" s="26"/>
      <c r="D86" s="26"/>
      <c r="E86" s="26"/>
      <c r="F86" s="142" t="s">
        <v>2</v>
      </c>
      <c r="G86" s="89" t="s">
        <v>8</v>
      </c>
      <c r="H86" s="143">
        <f t="shared" si="7"/>
        <v>2</v>
      </c>
      <c r="I86" s="1"/>
      <c r="J86" s="1"/>
      <c r="K86" s="1"/>
      <c r="L86" s="1"/>
      <c r="M86" s="1"/>
      <c r="N86" s="183"/>
      <c r="O86" s="183"/>
      <c r="P86" s="183"/>
      <c r="Q86" s="183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3:27" ht="13.8" thickBot="1" x14ac:dyDescent="0.3">
      <c r="C87" s="26"/>
      <c r="D87" s="26"/>
      <c r="E87" s="26"/>
      <c r="F87" s="144" t="s">
        <v>2</v>
      </c>
      <c r="G87" s="136" t="s">
        <v>10</v>
      </c>
      <c r="H87" s="145">
        <f t="shared" si="7"/>
        <v>1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3:27" ht="13.2" x14ac:dyDescent="0.25">
      <c r="C88" s="26"/>
      <c r="D88" s="26"/>
      <c r="E88" s="26"/>
      <c r="F88" s="146" t="s">
        <v>3</v>
      </c>
      <c r="G88" s="128" t="s">
        <v>11</v>
      </c>
      <c r="H88" s="147">
        <f>H24</f>
        <v>1</v>
      </c>
      <c r="I88" s="1"/>
      <c r="J88" s="539" t="s">
        <v>3</v>
      </c>
      <c r="K88" s="128" t="s">
        <v>8</v>
      </c>
      <c r="L88" s="372">
        <f>H93</f>
        <v>6</v>
      </c>
      <c r="M88" s="359" t="str">
        <f>LEFT(K88,3)</f>
        <v>Bui</v>
      </c>
      <c r="N88" s="184"/>
      <c r="O88" s="184"/>
      <c r="P88" s="184"/>
      <c r="Q88" s="184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3:27" ht="13.2" x14ac:dyDescent="0.25">
      <c r="C89" s="26"/>
      <c r="D89" s="26"/>
      <c r="E89" s="26"/>
      <c r="F89" s="148" t="s">
        <v>3</v>
      </c>
      <c r="G89" s="89" t="s">
        <v>12</v>
      </c>
      <c r="H89" s="149">
        <f t="shared" ref="H89:H97" si="9">H25</f>
        <v>0</v>
      </c>
      <c r="I89" s="1"/>
      <c r="J89" s="540"/>
      <c r="K89" s="89" t="s">
        <v>9</v>
      </c>
      <c r="L89" s="371">
        <f>H90</f>
        <v>2</v>
      </c>
      <c r="M89" s="360" t="str">
        <f t="shared" ref="M89:M94" si="10">LEFT(K89,3)</f>
        <v>Agr</v>
      </c>
      <c r="N89" s="184"/>
      <c r="O89" s="184"/>
      <c r="P89" s="184"/>
      <c r="Q89" s="184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3:27" ht="13.2" x14ac:dyDescent="0.25">
      <c r="C90" s="26"/>
      <c r="D90" s="26"/>
      <c r="E90" s="26"/>
      <c r="F90" s="148" t="s">
        <v>3</v>
      </c>
      <c r="G90" s="89" t="s">
        <v>9</v>
      </c>
      <c r="H90" s="149">
        <f t="shared" si="9"/>
        <v>2</v>
      </c>
      <c r="I90" s="1"/>
      <c r="J90" s="540"/>
      <c r="K90" s="89" t="s">
        <v>10</v>
      </c>
      <c r="L90" s="371">
        <f>H95+H96</f>
        <v>2</v>
      </c>
      <c r="M90" s="360" t="str">
        <f t="shared" si="10"/>
        <v>Exp</v>
      </c>
      <c r="N90" s="184"/>
      <c r="O90" s="184"/>
      <c r="P90" s="184"/>
      <c r="Q90" s="184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3:27" ht="13.2" x14ac:dyDescent="0.25">
      <c r="C91" s="26"/>
      <c r="D91" s="26"/>
      <c r="E91" s="26"/>
      <c r="F91" s="148" t="s">
        <v>3</v>
      </c>
      <c r="G91" s="89" t="s">
        <v>538</v>
      </c>
      <c r="H91" s="149">
        <f t="shared" si="9"/>
        <v>7</v>
      </c>
      <c r="I91" s="1"/>
      <c r="J91" s="540"/>
      <c r="K91" s="89" t="s">
        <v>11</v>
      </c>
      <c r="L91" s="371">
        <f>H88+H94</f>
        <v>2</v>
      </c>
      <c r="M91" s="360" t="str">
        <f t="shared" si="10"/>
        <v>Mil</v>
      </c>
      <c r="N91" s="184"/>
      <c r="O91" s="184"/>
      <c r="P91" s="184"/>
      <c r="Q91" s="184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3:27" ht="13.2" x14ac:dyDescent="0.25">
      <c r="C92" s="26"/>
      <c r="D92" s="26"/>
      <c r="E92" s="26"/>
      <c r="F92" s="148" t="s">
        <v>3</v>
      </c>
      <c r="G92" s="89" t="s">
        <v>12</v>
      </c>
      <c r="H92" s="149">
        <f t="shared" si="9"/>
        <v>1</v>
      </c>
      <c r="I92" s="1"/>
      <c r="J92" s="540"/>
      <c r="K92" s="89" t="s">
        <v>538</v>
      </c>
      <c r="L92" s="371">
        <f>H91</f>
        <v>7</v>
      </c>
      <c r="M92" s="360" t="str">
        <f t="shared" si="10"/>
        <v>Aes</v>
      </c>
      <c r="N92" s="184"/>
      <c r="O92" s="184"/>
      <c r="P92" s="184"/>
      <c r="Q92" s="184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3:27" ht="13.2" x14ac:dyDescent="0.25">
      <c r="C93" s="26"/>
      <c r="D93" s="26"/>
      <c r="E93" s="26"/>
      <c r="F93" s="148" t="s">
        <v>3</v>
      </c>
      <c r="G93" s="89" t="s">
        <v>8</v>
      </c>
      <c r="H93" s="149">
        <f t="shared" si="9"/>
        <v>6</v>
      </c>
      <c r="I93" s="1"/>
      <c r="J93" s="540"/>
      <c r="K93" s="89" t="s">
        <v>12</v>
      </c>
      <c r="L93" s="371">
        <f>H89+H92</f>
        <v>1</v>
      </c>
      <c r="M93" s="360" t="str">
        <f t="shared" si="10"/>
        <v>Mer</v>
      </c>
      <c r="N93" s="184"/>
      <c r="O93" s="184"/>
      <c r="P93" s="184"/>
      <c r="Q93" s="184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3:27" ht="13.2" x14ac:dyDescent="0.25">
      <c r="C94" s="26"/>
      <c r="D94" s="26"/>
      <c r="E94" s="26"/>
      <c r="F94" s="148" t="s">
        <v>3</v>
      </c>
      <c r="G94" s="89" t="s">
        <v>11</v>
      </c>
      <c r="H94" s="149">
        <f t="shared" si="9"/>
        <v>1</v>
      </c>
      <c r="I94" s="1"/>
      <c r="J94" s="540"/>
      <c r="K94" s="89" t="s">
        <v>13</v>
      </c>
      <c r="L94" s="371">
        <f>H97</f>
        <v>1</v>
      </c>
      <c r="M94" s="360" t="str">
        <f t="shared" si="10"/>
        <v>Sci</v>
      </c>
      <c r="N94" s="184"/>
      <c r="O94" s="184"/>
      <c r="P94" s="184"/>
      <c r="Q94" s="184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3:27" ht="13.8" thickBot="1" x14ac:dyDescent="0.3">
      <c r="C95" s="26"/>
      <c r="D95" s="26"/>
      <c r="E95" s="26"/>
      <c r="F95" s="148" t="s">
        <v>3</v>
      </c>
      <c r="G95" s="89" t="s">
        <v>10</v>
      </c>
      <c r="H95" s="149">
        <f t="shared" si="9"/>
        <v>2</v>
      </c>
      <c r="I95" s="1"/>
      <c r="J95" s="541"/>
      <c r="K95" s="57" t="s">
        <v>535</v>
      </c>
      <c r="L95" s="57">
        <f>SUM(L88:L94)</f>
        <v>21</v>
      </c>
      <c r="M95" s="379"/>
      <c r="N95" s="184"/>
      <c r="O95" s="184"/>
      <c r="P95" s="184"/>
      <c r="Q95" s="184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3:27" ht="13.2" x14ac:dyDescent="0.25">
      <c r="C96" s="26"/>
      <c r="D96" s="26"/>
      <c r="E96" s="26"/>
      <c r="F96" s="148" t="s">
        <v>3</v>
      </c>
      <c r="G96" s="89" t="s">
        <v>10</v>
      </c>
      <c r="H96" s="149">
        <f t="shared" si="9"/>
        <v>0</v>
      </c>
      <c r="I96" s="1"/>
      <c r="J96" s="1"/>
      <c r="K96" s="1"/>
      <c r="L96" s="1"/>
      <c r="M96" s="1"/>
      <c r="N96" s="184"/>
      <c r="O96" s="184"/>
      <c r="P96" s="184"/>
      <c r="Q96" s="184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3:27" ht="13.8" thickBot="1" x14ac:dyDescent="0.3">
      <c r="C97" s="26"/>
      <c r="D97" s="26"/>
      <c r="E97" s="26"/>
      <c r="F97" s="150" t="s">
        <v>3</v>
      </c>
      <c r="G97" s="136" t="s">
        <v>13</v>
      </c>
      <c r="H97" s="151">
        <f t="shared" si="9"/>
        <v>1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3:27" ht="13.2" x14ac:dyDescent="0.25">
      <c r="C98" s="26"/>
      <c r="D98" s="26"/>
      <c r="E98" s="26"/>
      <c r="F98" s="152" t="s">
        <v>4</v>
      </c>
      <c r="G98" s="128" t="s">
        <v>12</v>
      </c>
      <c r="H98" s="153">
        <f>H34</f>
        <v>1</v>
      </c>
      <c r="I98" s="1"/>
      <c r="J98" s="542" t="s">
        <v>4</v>
      </c>
      <c r="K98" s="128" t="s">
        <v>8</v>
      </c>
      <c r="L98" s="374">
        <f>H103</f>
        <v>4</v>
      </c>
      <c r="M98" s="361" t="str">
        <f>LEFT(K98,3)</f>
        <v>Bui</v>
      </c>
      <c r="N98" s="185"/>
      <c r="O98" s="185"/>
      <c r="P98" s="185"/>
      <c r="Q98" s="185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3:27" ht="13.2" x14ac:dyDescent="0.25">
      <c r="C99" s="26"/>
      <c r="D99" s="26"/>
      <c r="E99" s="26"/>
      <c r="F99" s="154" t="s">
        <v>4</v>
      </c>
      <c r="G99" s="89" t="s">
        <v>538</v>
      </c>
      <c r="H99" s="155">
        <f t="shared" ref="H99:H107" si="11">H35</f>
        <v>3</v>
      </c>
      <c r="I99" s="1"/>
      <c r="J99" s="543"/>
      <c r="K99" s="89" t="s">
        <v>9</v>
      </c>
      <c r="L99" s="373">
        <f>H100</f>
        <v>1</v>
      </c>
      <c r="M99" s="362" t="str">
        <f t="shared" ref="M99:M104" si="12">LEFT(K99,3)</f>
        <v>Agr</v>
      </c>
      <c r="N99" s="185"/>
      <c r="O99" s="185"/>
      <c r="P99" s="185"/>
      <c r="Q99" s="185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3:27" ht="13.2" x14ac:dyDescent="0.25">
      <c r="C100" s="26"/>
      <c r="D100" s="26"/>
      <c r="E100" s="26"/>
      <c r="F100" s="154" t="s">
        <v>4</v>
      </c>
      <c r="G100" s="89" t="s">
        <v>9</v>
      </c>
      <c r="H100" s="155">
        <f t="shared" si="11"/>
        <v>1</v>
      </c>
      <c r="I100" s="1"/>
      <c r="J100" s="543"/>
      <c r="K100" s="89" t="s">
        <v>10</v>
      </c>
      <c r="L100" s="373">
        <f>H104+H106</f>
        <v>1</v>
      </c>
      <c r="M100" s="362" t="str">
        <f t="shared" si="12"/>
        <v>Exp</v>
      </c>
      <c r="N100" s="185"/>
      <c r="O100" s="185"/>
      <c r="P100" s="185"/>
      <c r="Q100" s="185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3:27" ht="13.2" x14ac:dyDescent="0.25">
      <c r="C101" s="26"/>
      <c r="D101" s="26"/>
      <c r="E101" s="26"/>
      <c r="F101" s="154" t="s">
        <v>4</v>
      </c>
      <c r="G101" s="89" t="s">
        <v>13</v>
      </c>
      <c r="H101" s="155">
        <f t="shared" si="11"/>
        <v>3</v>
      </c>
      <c r="I101" s="1"/>
      <c r="J101" s="543"/>
      <c r="K101" s="89" t="s">
        <v>11</v>
      </c>
      <c r="L101" s="373">
        <f>H105</f>
        <v>3</v>
      </c>
      <c r="M101" s="362" t="str">
        <f t="shared" si="12"/>
        <v>Mil</v>
      </c>
      <c r="N101" s="185"/>
      <c r="O101" s="185"/>
      <c r="P101" s="185"/>
      <c r="Q101" s="185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3:27" ht="13.2" x14ac:dyDescent="0.25">
      <c r="C102" s="26"/>
      <c r="D102" s="26"/>
      <c r="E102" s="26"/>
      <c r="F102" s="154" t="s">
        <v>4</v>
      </c>
      <c r="G102" s="89" t="s">
        <v>538</v>
      </c>
      <c r="H102" s="155">
        <f t="shared" si="11"/>
        <v>5</v>
      </c>
      <c r="I102" s="1"/>
      <c r="J102" s="543"/>
      <c r="K102" s="89" t="s">
        <v>538</v>
      </c>
      <c r="L102" s="373">
        <f>H99+H102</f>
        <v>8</v>
      </c>
      <c r="M102" s="362" t="str">
        <f t="shared" si="12"/>
        <v>Aes</v>
      </c>
      <c r="N102" s="185"/>
      <c r="O102" s="185"/>
      <c r="P102" s="185"/>
      <c r="Q102" s="185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3:27" ht="13.2" x14ac:dyDescent="0.25">
      <c r="C103" s="26"/>
      <c r="D103" s="26"/>
      <c r="E103" s="26"/>
      <c r="F103" s="154" t="s">
        <v>4</v>
      </c>
      <c r="G103" s="89" t="s">
        <v>8</v>
      </c>
      <c r="H103" s="155">
        <f t="shared" si="11"/>
        <v>4</v>
      </c>
      <c r="I103" s="1"/>
      <c r="J103" s="543"/>
      <c r="K103" s="89" t="s">
        <v>12</v>
      </c>
      <c r="L103" s="373">
        <f>H98+H107</f>
        <v>1</v>
      </c>
      <c r="M103" s="362" t="str">
        <f t="shared" si="12"/>
        <v>Mer</v>
      </c>
      <c r="N103" s="185"/>
      <c r="O103" s="185"/>
      <c r="P103" s="185"/>
      <c r="Q103" s="185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3:27" ht="13.2" x14ac:dyDescent="0.25">
      <c r="C104" s="26"/>
      <c r="D104" s="26"/>
      <c r="E104" s="26"/>
      <c r="F104" s="154" t="s">
        <v>4</v>
      </c>
      <c r="G104" s="89" t="s">
        <v>10</v>
      </c>
      <c r="H104" s="155">
        <f t="shared" si="11"/>
        <v>1</v>
      </c>
      <c r="I104" s="1"/>
      <c r="J104" s="543"/>
      <c r="K104" s="89" t="s">
        <v>13</v>
      </c>
      <c r="L104" s="373">
        <f>H101</f>
        <v>3</v>
      </c>
      <c r="M104" s="362" t="str">
        <f t="shared" si="12"/>
        <v>Sci</v>
      </c>
      <c r="N104" s="185"/>
      <c r="O104" s="185"/>
      <c r="P104" s="185"/>
      <c r="Q104" s="185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3:27" ht="13.8" thickBot="1" x14ac:dyDescent="0.3">
      <c r="C105" s="26"/>
      <c r="D105" s="26"/>
      <c r="E105" s="26"/>
      <c r="F105" s="154" t="s">
        <v>4</v>
      </c>
      <c r="G105" s="89" t="s">
        <v>11</v>
      </c>
      <c r="H105" s="155">
        <f t="shared" si="11"/>
        <v>3</v>
      </c>
      <c r="I105" s="1"/>
      <c r="J105" s="544"/>
      <c r="K105" s="57" t="s">
        <v>535</v>
      </c>
      <c r="L105" s="57">
        <f>SUM(L98:L104)</f>
        <v>21</v>
      </c>
      <c r="M105" s="379"/>
      <c r="N105" s="185"/>
      <c r="O105" s="185"/>
      <c r="P105" s="185"/>
      <c r="Q105" s="185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3:27" ht="13.2" x14ac:dyDescent="0.25">
      <c r="C106" s="26"/>
      <c r="D106" s="26"/>
      <c r="E106" s="26"/>
      <c r="F106" s="154" t="s">
        <v>4</v>
      </c>
      <c r="G106" s="89" t="s">
        <v>10</v>
      </c>
      <c r="H106" s="155">
        <f t="shared" si="11"/>
        <v>0</v>
      </c>
      <c r="I106" s="1"/>
      <c r="J106" s="1"/>
      <c r="K106" s="1"/>
      <c r="L106" s="1"/>
      <c r="M106" s="1"/>
      <c r="N106" s="185"/>
      <c r="O106" s="185"/>
      <c r="P106" s="185"/>
      <c r="Q106" s="185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3:27" ht="13.8" thickBot="1" x14ac:dyDescent="0.3">
      <c r="C107" s="26"/>
      <c r="D107" s="26"/>
      <c r="E107" s="26"/>
      <c r="F107" s="156" t="s">
        <v>4</v>
      </c>
      <c r="G107" s="136" t="s">
        <v>12</v>
      </c>
      <c r="H107" s="157">
        <f t="shared" si="11"/>
        <v>0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3:27" ht="13.2" x14ac:dyDescent="0.25">
      <c r="C108" s="26"/>
      <c r="D108" s="26"/>
      <c r="E108" s="26"/>
      <c r="F108" s="158" t="s">
        <v>5</v>
      </c>
      <c r="G108" s="128" t="s">
        <v>538</v>
      </c>
      <c r="H108" s="159">
        <f>H44</f>
        <v>2</v>
      </c>
      <c r="I108" s="1"/>
      <c r="J108" s="545" t="s">
        <v>5</v>
      </c>
      <c r="K108" s="128" t="s">
        <v>8</v>
      </c>
      <c r="L108" s="376">
        <f>H114+H116</f>
        <v>4</v>
      </c>
      <c r="M108" s="363" t="str">
        <f>LEFT(K108,3)</f>
        <v>Bui</v>
      </c>
      <c r="N108" s="186"/>
      <c r="O108" s="186"/>
      <c r="P108" s="186"/>
      <c r="Q108" s="186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3:27" ht="13.2" x14ac:dyDescent="0.25">
      <c r="C109" s="26"/>
      <c r="D109" s="26"/>
      <c r="E109" s="26"/>
      <c r="F109" s="160" t="s">
        <v>5</v>
      </c>
      <c r="G109" s="89" t="s">
        <v>10</v>
      </c>
      <c r="H109" s="161">
        <f t="shared" ref="H109:H117" si="13">H45</f>
        <v>1</v>
      </c>
      <c r="I109" s="1"/>
      <c r="J109" s="546"/>
      <c r="K109" s="89" t="s">
        <v>9</v>
      </c>
      <c r="L109" s="375">
        <f>H113</f>
        <v>1</v>
      </c>
      <c r="M109" s="364" t="str">
        <f t="shared" ref="M109:M114" si="14">LEFT(K109,3)</f>
        <v>Agr</v>
      </c>
      <c r="N109" s="186"/>
      <c r="O109" s="186"/>
      <c r="P109" s="186"/>
      <c r="Q109" s="186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3:27" ht="13.2" x14ac:dyDescent="0.25">
      <c r="C110" s="26"/>
      <c r="D110" s="26"/>
      <c r="E110" s="26"/>
      <c r="F110" s="160" t="s">
        <v>5</v>
      </c>
      <c r="G110" s="89" t="s">
        <v>13</v>
      </c>
      <c r="H110" s="161">
        <f t="shared" si="13"/>
        <v>8</v>
      </c>
      <c r="I110" s="1"/>
      <c r="J110" s="546"/>
      <c r="K110" s="89" t="s">
        <v>10</v>
      </c>
      <c r="L110" s="375">
        <f>H109+H112+H115</f>
        <v>4</v>
      </c>
      <c r="M110" s="364" t="str">
        <f t="shared" si="14"/>
        <v>Exp</v>
      </c>
      <c r="N110" s="186"/>
      <c r="O110" s="186"/>
      <c r="P110" s="186"/>
      <c r="Q110" s="186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3:27" ht="13.2" x14ac:dyDescent="0.25">
      <c r="C111" s="26"/>
      <c r="D111" s="26"/>
      <c r="E111" s="26"/>
      <c r="F111" s="160" t="s">
        <v>5</v>
      </c>
      <c r="G111" s="89" t="s">
        <v>11</v>
      </c>
      <c r="H111" s="161">
        <f t="shared" si="13"/>
        <v>1</v>
      </c>
      <c r="I111" s="1"/>
      <c r="J111" s="546"/>
      <c r="K111" s="89" t="s">
        <v>11</v>
      </c>
      <c r="L111" s="375">
        <f>H111+H117</f>
        <v>2</v>
      </c>
      <c r="M111" s="364" t="str">
        <f t="shared" si="14"/>
        <v>Mil</v>
      </c>
      <c r="N111" s="186"/>
      <c r="O111" s="186"/>
      <c r="P111" s="186"/>
      <c r="Q111" s="186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3:27" ht="13.2" x14ac:dyDescent="0.25">
      <c r="C112" s="26"/>
      <c r="D112" s="26"/>
      <c r="E112" s="26"/>
      <c r="F112" s="160" t="s">
        <v>5</v>
      </c>
      <c r="G112" s="89" t="s">
        <v>10</v>
      </c>
      <c r="H112" s="161">
        <f t="shared" si="13"/>
        <v>2</v>
      </c>
      <c r="I112" s="1"/>
      <c r="J112" s="546"/>
      <c r="K112" s="89" t="s">
        <v>538</v>
      </c>
      <c r="L112" s="375">
        <f>H108</f>
        <v>2</v>
      </c>
      <c r="M112" s="364" t="str">
        <f t="shared" si="14"/>
        <v>Aes</v>
      </c>
      <c r="N112" s="186"/>
      <c r="O112" s="186"/>
      <c r="P112" s="186"/>
      <c r="Q112" s="186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3:27" ht="13.2" x14ac:dyDescent="0.25">
      <c r="C113" s="26"/>
      <c r="D113" s="26"/>
      <c r="E113" s="26"/>
      <c r="F113" s="160" t="s">
        <v>5</v>
      </c>
      <c r="G113" s="89" t="s">
        <v>9</v>
      </c>
      <c r="H113" s="161">
        <f t="shared" si="13"/>
        <v>1</v>
      </c>
      <c r="I113" s="1"/>
      <c r="J113" s="546"/>
      <c r="K113" s="89" t="s">
        <v>12</v>
      </c>
      <c r="L113" s="375">
        <v>0</v>
      </c>
      <c r="M113" s="364" t="str">
        <f t="shared" si="14"/>
        <v>Mer</v>
      </c>
      <c r="N113" s="186"/>
      <c r="O113" s="186"/>
      <c r="P113" s="186"/>
      <c r="Q113" s="186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3:27" ht="13.2" x14ac:dyDescent="0.25">
      <c r="C114" s="26"/>
      <c r="D114" s="26"/>
      <c r="E114" s="26"/>
      <c r="F114" s="160" t="s">
        <v>5</v>
      </c>
      <c r="G114" s="89" t="s">
        <v>8</v>
      </c>
      <c r="H114" s="161">
        <f t="shared" si="13"/>
        <v>3</v>
      </c>
      <c r="I114" s="1"/>
      <c r="J114" s="546"/>
      <c r="K114" s="89" t="s">
        <v>13</v>
      </c>
      <c r="L114" s="375">
        <f>H110</f>
        <v>8</v>
      </c>
      <c r="M114" s="364" t="str">
        <f t="shared" si="14"/>
        <v>Sci</v>
      </c>
      <c r="N114" s="186"/>
      <c r="O114" s="186"/>
      <c r="P114" s="186"/>
      <c r="Q114" s="186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3:27" ht="13.8" thickBot="1" x14ac:dyDescent="0.3">
      <c r="C115" s="26"/>
      <c r="D115" s="26"/>
      <c r="E115" s="26"/>
      <c r="F115" s="160" t="s">
        <v>5</v>
      </c>
      <c r="G115" s="89" t="s">
        <v>10</v>
      </c>
      <c r="H115" s="161">
        <f t="shared" si="13"/>
        <v>1</v>
      </c>
      <c r="I115" s="1"/>
      <c r="J115" s="547"/>
      <c r="K115" s="57" t="s">
        <v>535</v>
      </c>
      <c r="L115" s="57">
        <f>SUM(L108:L114)</f>
        <v>21</v>
      </c>
      <c r="M115" s="379"/>
      <c r="N115" s="186"/>
      <c r="O115" s="186"/>
      <c r="P115" s="186"/>
      <c r="Q115" s="186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3:27" ht="13.2" x14ac:dyDescent="0.25">
      <c r="C116" s="26"/>
      <c r="D116" s="26"/>
      <c r="E116" s="26"/>
      <c r="F116" s="160" t="s">
        <v>5</v>
      </c>
      <c r="G116" s="89" t="s">
        <v>8</v>
      </c>
      <c r="H116" s="161">
        <f t="shared" si="13"/>
        <v>1</v>
      </c>
      <c r="I116" s="1"/>
      <c r="J116" s="1"/>
      <c r="K116" s="1"/>
      <c r="L116" s="1"/>
      <c r="M116" s="1"/>
      <c r="N116" s="186"/>
      <c r="O116" s="186"/>
      <c r="P116" s="186"/>
      <c r="Q116" s="186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3:27" ht="13.8" thickBot="1" x14ac:dyDescent="0.3">
      <c r="C117" s="26"/>
      <c r="D117" s="26"/>
      <c r="E117" s="26"/>
      <c r="F117" s="162" t="s">
        <v>5</v>
      </c>
      <c r="G117" s="136" t="s">
        <v>11</v>
      </c>
      <c r="H117" s="163">
        <f t="shared" si="13"/>
        <v>1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3:27" ht="13.2" x14ac:dyDescent="0.25">
      <c r="C118" s="26"/>
      <c r="D118" s="26"/>
      <c r="E118" s="26"/>
      <c r="F118" s="169" t="s">
        <v>6</v>
      </c>
      <c r="G118" s="128" t="s">
        <v>10</v>
      </c>
      <c r="H118" s="170">
        <f>H54</f>
        <v>2</v>
      </c>
      <c r="I118" s="1"/>
      <c r="J118" s="530" t="s">
        <v>6</v>
      </c>
      <c r="K118" s="128" t="s">
        <v>8</v>
      </c>
      <c r="L118" s="378">
        <f>H119</f>
        <v>1</v>
      </c>
      <c r="M118" s="365" t="str">
        <f>LEFT(K118,3)</f>
        <v>Bui</v>
      </c>
      <c r="N118" s="187"/>
      <c r="O118" s="187"/>
      <c r="P118" s="187"/>
      <c r="Q118" s="187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3:27" ht="13.2" x14ac:dyDescent="0.25">
      <c r="C119" s="26"/>
      <c r="D119" s="26"/>
      <c r="E119" s="26"/>
      <c r="F119" s="171" t="s">
        <v>6</v>
      </c>
      <c r="G119" s="89" t="s">
        <v>8</v>
      </c>
      <c r="H119" s="172">
        <f t="shared" ref="H119:H127" si="15">H55</f>
        <v>1</v>
      </c>
      <c r="I119" s="1"/>
      <c r="J119" s="531"/>
      <c r="K119" s="89" t="s">
        <v>9</v>
      </c>
      <c r="L119" s="377">
        <f>H120+H127</f>
        <v>3</v>
      </c>
      <c r="M119" s="366" t="str">
        <f t="shared" ref="M119:M124" si="16">LEFT(K119,3)</f>
        <v>Agr</v>
      </c>
      <c r="N119" s="187"/>
      <c r="O119" s="187"/>
      <c r="P119" s="187"/>
      <c r="Q119" s="187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3:27" ht="13.2" x14ac:dyDescent="0.25">
      <c r="C120" s="26"/>
      <c r="D120" s="26"/>
      <c r="E120" s="26"/>
      <c r="F120" s="171" t="s">
        <v>6</v>
      </c>
      <c r="G120" s="89" t="s">
        <v>9</v>
      </c>
      <c r="H120" s="172">
        <f t="shared" si="15"/>
        <v>1</v>
      </c>
      <c r="I120" s="1"/>
      <c r="J120" s="531"/>
      <c r="K120" s="89" t="s">
        <v>10</v>
      </c>
      <c r="L120" s="377">
        <f>H118+H125</f>
        <v>3</v>
      </c>
      <c r="M120" s="366" t="str">
        <f t="shared" si="16"/>
        <v>Exp</v>
      </c>
      <c r="N120" s="187"/>
      <c r="O120" s="187"/>
      <c r="P120" s="187"/>
      <c r="Q120" s="187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3:27" ht="13.2" x14ac:dyDescent="0.25">
      <c r="C121" s="26"/>
      <c r="D121" s="26"/>
      <c r="E121" s="26"/>
      <c r="F121" s="171" t="s">
        <v>6</v>
      </c>
      <c r="G121" s="89" t="s">
        <v>12</v>
      </c>
      <c r="H121" s="172">
        <f t="shared" si="15"/>
        <v>1</v>
      </c>
      <c r="I121" s="1"/>
      <c r="J121" s="531"/>
      <c r="K121" s="89" t="s">
        <v>11</v>
      </c>
      <c r="L121" s="377">
        <f>0</f>
        <v>0</v>
      </c>
      <c r="M121" s="366" t="str">
        <f t="shared" si="16"/>
        <v>Mil</v>
      </c>
      <c r="N121" s="187"/>
      <c r="O121" s="187"/>
      <c r="P121" s="187"/>
      <c r="Q121" s="187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3:27" ht="13.2" x14ac:dyDescent="0.25">
      <c r="C122" s="26"/>
      <c r="D122" s="26"/>
      <c r="E122" s="26"/>
      <c r="F122" s="171" t="s">
        <v>6</v>
      </c>
      <c r="G122" s="89" t="s">
        <v>538</v>
      </c>
      <c r="H122" s="172">
        <f t="shared" si="15"/>
        <v>3</v>
      </c>
      <c r="I122" s="1"/>
      <c r="J122" s="531"/>
      <c r="K122" s="89" t="s">
        <v>538</v>
      </c>
      <c r="L122" s="377">
        <f>H122+H123</f>
        <v>6</v>
      </c>
      <c r="M122" s="366" t="str">
        <f t="shared" si="16"/>
        <v>Aes</v>
      </c>
      <c r="N122" s="187"/>
      <c r="O122" s="187"/>
      <c r="P122" s="187"/>
      <c r="Q122" s="187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3:27" ht="13.2" x14ac:dyDescent="0.25">
      <c r="C123" s="26"/>
      <c r="D123" s="26"/>
      <c r="E123" s="26"/>
      <c r="F123" s="171" t="s">
        <v>6</v>
      </c>
      <c r="G123" s="89" t="s">
        <v>538</v>
      </c>
      <c r="H123" s="172">
        <f t="shared" si="15"/>
        <v>3</v>
      </c>
      <c r="I123" s="1"/>
      <c r="J123" s="531"/>
      <c r="K123" s="89" t="s">
        <v>12</v>
      </c>
      <c r="L123" s="377">
        <f>H121</f>
        <v>1</v>
      </c>
      <c r="M123" s="366" t="str">
        <f t="shared" si="16"/>
        <v>Mer</v>
      </c>
      <c r="N123" s="187"/>
      <c r="O123" s="187"/>
      <c r="P123" s="187"/>
      <c r="Q123" s="187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3:27" ht="13.2" x14ac:dyDescent="0.25">
      <c r="C124" s="26"/>
      <c r="D124" s="26"/>
      <c r="E124" s="26"/>
      <c r="F124" s="171" t="s">
        <v>6</v>
      </c>
      <c r="G124" s="89" t="s">
        <v>13</v>
      </c>
      <c r="H124" s="172">
        <f t="shared" si="15"/>
        <v>3</v>
      </c>
      <c r="I124" s="1"/>
      <c r="J124" s="531"/>
      <c r="K124" s="89" t="s">
        <v>13</v>
      </c>
      <c r="L124" s="377">
        <f>H124+H126</f>
        <v>7</v>
      </c>
      <c r="M124" s="366" t="str">
        <f t="shared" si="16"/>
        <v>Sci</v>
      </c>
      <c r="N124" s="187"/>
      <c r="O124" s="187"/>
      <c r="P124" s="187"/>
      <c r="Q124" s="187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3:27" ht="13.8" thickBot="1" x14ac:dyDescent="0.3">
      <c r="C125" s="26"/>
      <c r="D125" s="26"/>
      <c r="E125" s="26"/>
      <c r="F125" s="171" t="s">
        <v>6</v>
      </c>
      <c r="G125" s="89" t="s">
        <v>10</v>
      </c>
      <c r="H125" s="172">
        <f t="shared" si="15"/>
        <v>1</v>
      </c>
      <c r="I125" s="1"/>
      <c r="J125" s="532"/>
      <c r="K125" s="57" t="s">
        <v>535</v>
      </c>
      <c r="L125" s="57">
        <f>SUM(L118:L124)</f>
        <v>21</v>
      </c>
      <c r="M125" s="379"/>
      <c r="N125" s="187"/>
      <c r="O125" s="187"/>
      <c r="P125" s="187"/>
      <c r="Q125" s="187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3:27" ht="13.2" x14ac:dyDescent="0.25">
      <c r="C126" s="26"/>
      <c r="D126" s="26"/>
      <c r="E126" s="26"/>
      <c r="F126" s="171" t="s">
        <v>6</v>
      </c>
      <c r="G126" s="89" t="s">
        <v>13</v>
      </c>
      <c r="H126" s="172">
        <f t="shared" si="15"/>
        <v>4</v>
      </c>
      <c r="I126" s="1"/>
      <c r="J126" s="1"/>
      <c r="K126" s="1"/>
      <c r="L126" s="1"/>
      <c r="M126" s="1"/>
      <c r="N126" s="187"/>
      <c r="O126" s="187"/>
      <c r="P126" s="187"/>
      <c r="Q126" s="187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3:27" ht="13.8" thickBot="1" x14ac:dyDescent="0.3">
      <c r="C127" s="26"/>
      <c r="D127" s="26"/>
      <c r="E127" s="26"/>
      <c r="F127" s="173" t="s">
        <v>6</v>
      </c>
      <c r="G127" s="95" t="s">
        <v>9</v>
      </c>
      <c r="H127" s="174">
        <f t="shared" si="15"/>
        <v>2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3:27" ht="13.8" thickBot="1" x14ac:dyDescent="0.3">
      <c r="C128" s="26"/>
      <c r="D128" s="26"/>
      <c r="E128" s="26"/>
      <c r="F128" s="164" t="s">
        <v>254</v>
      </c>
      <c r="G128" s="165" t="s">
        <v>9</v>
      </c>
      <c r="H128" s="168">
        <f>SUM(H68:H127)/6</f>
        <v>21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3.2" x14ac:dyDescent="0.25">
      <c r="B129" s="1"/>
      <c r="C129" s="26"/>
      <c r="D129" s="26"/>
      <c r="E129" s="26"/>
      <c r="F129" s="1"/>
      <c r="G129" s="1"/>
      <c r="H129" s="11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3.8" thickBot="1" x14ac:dyDescent="0.3">
      <c r="B130" s="1"/>
      <c r="C130" s="26"/>
      <c r="D130" s="26"/>
      <c r="E130" s="26"/>
      <c r="F130" s="1"/>
      <c r="G130" s="1"/>
      <c r="H130" s="11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3.2" x14ac:dyDescent="0.25">
      <c r="B131" s="1"/>
      <c r="C131" s="26"/>
      <c r="D131" s="26"/>
      <c r="E131" s="26"/>
      <c r="F131" s="1"/>
      <c r="G131" s="1"/>
      <c r="H131" s="114"/>
      <c r="I131" s="1"/>
      <c r="J131" s="527" t="s">
        <v>565</v>
      </c>
      <c r="K131" s="205" t="s">
        <v>8</v>
      </c>
      <c r="L131" s="211">
        <f>L68+L78+L88+L98+L108+L118</f>
        <v>21</v>
      </c>
      <c r="M131" s="212">
        <f>L131/$L$138</f>
        <v>0.16666666666666666</v>
      </c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3.2" x14ac:dyDescent="0.25">
      <c r="B132" s="1"/>
      <c r="C132" s="26"/>
      <c r="D132" s="26"/>
      <c r="E132" s="26"/>
      <c r="F132" s="1"/>
      <c r="G132" s="1"/>
      <c r="H132" s="114"/>
      <c r="I132" s="1"/>
      <c r="J132" s="528"/>
      <c r="K132" s="206" t="s">
        <v>9</v>
      </c>
      <c r="L132" s="210">
        <f t="shared" ref="L132:L137" si="17">L69+L79+L89+L99+L109+L119</f>
        <v>10</v>
      </c>
      <c r="M132" s="213">
        <f t="shared" ref="M132:M137" si="18">L132/$L$138</f>
        <v>7.9365079365079361E-2</v>
      </c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3.2" x14ac:dyDescent="0.25">
      <c r="B133" s="1"/>
      <c r="C133" s="26"/>
      <c r="D133" s="26"/>
      <c r="E133" s="1"/>
      <c r="F133" s="1"/>
      <c r="G133" s="1"/>
      <c r="H133" s="114"/>
      <c r="I133" s="1"/>
      <c r="J133" s="528"/>
      <c r="K133" s="206" t="s">
        <v>10</v>
      </c>
      <c r="L133" s="210">
        <f t="shared" si="17"/>
        <v>21</v>
      </c>
      <c r="M133" s="213">
        <f t="shared" si="18"/>
        <v>0.16666666666666666</v>
      </c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3.2" x14ac:dyDescent="0.25">
      <c r="B134" s="1"/>
      <c r="C134" s="26"/>
      <c r="D134" s="26"/>
      <c r="E134" s="1"/>
      <c r="F134" s="1"/>
      <c r="G134" s="1"/>
      <c r="H134" s="114"/>
      <c r="I134" s="1"/>
      <c r="J134" s="528"/>
      <c r="K134" s="206" t="s">
        <v>11</v>
      </c>
      <c r="L134" s="210">
        <f t="shared" si="17"/>
        <v>11</v>
      </c>
      <c r="M134" s="213">
        <f t="shared" si="18"/>
        <v>8.7301587301587297E-2</v>
      </c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3.2" x14ac:dyDescent="0.25">
      <c r="B135" s="1"/>
      <c r="C135" s="26"/>
      <c r="D135" s="26"/>
      <c r="E135" s="1"/>
      <c r="F135" s="1"/>
      <c r="G135" s="1"/>
      <c r="H135" s="114"/>
      <c r="I135" s="1"/>
      <c r="J135" s="528"/>
      <c r="K135" s="206" t="s">
        <v>538</v>
      </c>
      <c r="L135" s="210">
        <f t="shared" si="17"/>
        <v>29</v>
      </c>
      <c r="M135" s="213">
        <f t="shared" si="18"/>
        <v>0.23015873015873015</v>
      </c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3.2" x14ac:dyDescent="0.25">
      <c r="B136" s="1"/>
      <c r="C136" s="26"/>
      <c r="D136" s="26"/>
      <c r="E136" s="1"/>
      <c r="F136" s="1"/>
      <c r="G136" s="1"/>
      <c r="H136" s="114"/>
      <c r="I136" s="1"/>
      <c r="J136" s="528"/>
      <c r="K136" s="206" t="s">
        <v>12</v>
      </c>
      <c r="L136" s="210">
        <f t="shared" si="17"/>
        <v>10</v>
      </c>
      <c r="M136" s="213">
        <f t="shared" si="18"/>
        <v>7.9365079365079361E-2</v>
      </c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3.2" x14ac:dyDescent="0.25">
      <c r="B137" s="1"/>
      <c r="C137" s="26"/>
      <c r="D137" s="26"/>
      <c r="E137" s="1"/>
      <c r="F137" s="1"/>
      <c r="G137" s="1"/>
      <c r="H137" s="114"/>
      <c r="I137" s="1"/>
      <c r="J137" s="528"/>
      <c r="K137" s="206" t="s">
        <v>13</v>
      </c>
      <c r="L137" s="210">
        <f t="shared" si="17"/>
        <v>24</v>
      </c>
      <c r="M137" s="213">
        <f t="shared" si="18"/>
        <v>0.19047619047619047</v>
      </c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3.8" thickBot="1" x14ac:dyDescent="0.3">
      <c r="B138" s="1"/>
      <c r="C138" s="26"/>
      <c r="D138" s="26"/>
      <c r="E138" s="1"/>
      <c r="F138" s="1"/>
      <c r="G138" s="1"/>
      <c r="H138" s="114"/>
      <c r="I138" s="1"/>
      <c r="J138" s="529"/>
      <c r="K138" s="57" t="s">
        <v>535</v>
      </c>
      <c r="L138" s="57">
        <f>SUM(L131:L137)</f>
        <v>126</v>
      </c>
      <c r="M138" s="214">
        <f>L138/$L$138</f>
        <v>1</v>
      </c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3.2" x14ac:dyDescent="0.25">
      <c r="B139" s="1"/>
      <c r="C139" s="26"/>
      <c r="D139" s="26"/>
      <c r="E139" s="1"/>
      <c r="F139" s="1"/>
      <c r="G139" s="1"/>
      <c r="H139" s="11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3.2" x14ac:dyDescent="0.25">
      <c r="B140" s="1"/>
      <c r="C140" s="26"/>
      <c r="D140" s="26"/>
      <c r="E140" s="1"/>
      <c r="F140" s="1"/>
      <c r="G140" s="1"/>
      <c r="H140" s="11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3.2" x14ac:dyDescent="0.25">
      <c r="B141" s="1"/>
      <c r="C141" s="26"/>
      <c r="D141" s="26"/>
      <c r="E141" s="1"/>
      <c r="F141" s="1"/>
      <c r="G141" s="1"/>
      <c r="H141" s="11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3.2" x14ac:dyDescent="0.25">
      <c r="B142" s="1"/>
      <c r="C142" s="26"/>
      <c r="D142" s="26"/>
      <c r="E142" s="1"/>
      <c r="F142" s="1"/>
      <c r="G142" s="1"/>
      <c r="H142" s="11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3.2" x14ac:dyDescent="0.25">
      <c r="B143" s="1"/>
      <c r="C143" s="26"/>
      <c r="D143" s="26"/>
      <c r="E143" s="1"/>
      <c r="F143" s="1"/>
      <c r="G143" s="1"/>
      <c r="H143" s="11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3.2" x14ac:dyDescent="0.25">
      <c r="B144" s="1"/>
      <c r="C144" s="26"/>
      <c r="D144" s="26"/>
      <c r="E144" s="1"/>
      <c r="F144" s="1"/>
      <c r="G144" s="1"/>
      <c r="H144" s="11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3.2" x14ac:dyDescent="0.25">
      <c r="B145" s="1"/>
      <c r="C145" s="26"/>
      <c r="D145" s="26"/>
      <c r="E145" s="1"/>
      <c r="F145" s="1"/>
      <c r="G145" s="1"/>
      <c r="H145" s="11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3.2" x14ac:dyDescent="0.25">
      <c r="B146" s="1"/>
      <c r="C146" s="26"/>
      <c r="D146" s="26"/>
      <c r="E146" s="1"/>
      <c r="F146" s="1"/>
      <c r="G146" s="1"/>
      <c r="H146" s="11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3.2" x14ac:dyDescent="0.25">
      <c r="B147" s="1"/>
      <c r="C147" s="26"/>
      <c r="D147" s="26"/>
      <c r="E147" s="1"/>
      <c r="F147" s="1"/>
      <c r="G147" s="1"/>
      <c r="H147" s="11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3.2" x14ac:dyDescent="0.25">
      <c r="B148" s="1"/>
      <c r="C148" s="26"/>
      <c r="D148" s="26"/>
      <c r="E148" s="1"/>
      <c r="F148" s="1"/>
      <c r="G148" s="1"/>
      <c r="H148" s="11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3.2" x14ac:dyDescent="0.25">
      <c r="B149" s="1"/>
      <c r="C149" s="26"/>
      <c r="D149" s="26"/>
      <c r="E149" s="1"/>
      <c r="F149" s="1"/>
      <c r="G149" s="1"/>
      <c r="H149" s="11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3.2" x14ac:dyDescent="0.25">
      <c r="B150" s="1"/>
      <c r="C150" s="26"/>
      <c r="D150" s="26"/>
      <c r="E150" s="1"/>
      <c r="F150" s="1"/>
      <c r="G150" s="1"/>
      <c r="H150" s="11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3.2" x14ac:dyDescent="0.25">
      <c r="B151" s="1"/>
      <c r="C151" s="26"/>
      <c r="D151" s="26"/>
      <c r="E151" s="1"/>
      <c r="F151" s="1"/>
      <c r="G151" s="1"/>
      <c r="H151" s="11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3.2" x14ac:dyDescent="0.25">
      <c r="B152" s="1"/>
      <c r="C152" s="26"/>
      <c r="D152" s="26"/>
      <c r="E152" s="1"/>
      <c r="F152" s="1"/>
      <c r="G152" s="1"/>
      <c r="H152" s="11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3.2" x14ac:dyDescent="0.25">
      <c r="B153" s="1"/>
      <c r="C153" s="26"/>
      <c r="D153" s="26"/>
      <c r="E153" s="1"/>
      <c r="F153" s="1"/>
      <c r="G153" s="1"/>
      <c r="H153" s="11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3.2" x14ac:dyDescent="0.25">
      <c r="B154" s="1"/>
      <c r="C154" s="26"/>
      <c r="D154" s="26"/>
      <c r="E154" s="1"/>
      <c r="F154" s="1"/>
      <c r="G154" s="1"/>
      <c r="H154" s="11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3.2" x14ac:dyDescent="0.25">
      <c r="B155" s="1"/>
      <c r="C155" s="26"/>
      <c r="D155" s="26"/>
      <c r="E155" s="1"/>
      <c r="F155" s="1"/>
      <c r="G155" s="1"/>
      <c r="H155" s="11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3.2" x14ac:dyDescent="0.25">
      <c r="B156" s="1"/>
      <c r="C156" s="26"/>
      <c r="D156" s="26"/>
      <c r="E156" s="1"/>
      <c r="F156" s="1"/>
      <c r="G156" s="1"/>
      <c r="H156" s="11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3.2" x14ac:dyDescent="0.25">
      <c r="B157" s="1"/>
      <c r="C157" s="26"/>
      <c r="D157" s="26"/>
      <c r="E157" s="1"/>
      <c r="F157" s="1"/>
      <c r="G157" s="1"/>
      <c r="H157" s="11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3.2" x14ac:dyDescent="0.25">
      <c r="B158" s="1"/>
      <c r="C158" s="26"/>
      <c r="D158" s="26"/>
      <c r="E158" s="1"/>
      <c r="F158" s="1"/>
      <c r="G158" s="1"/>
      <c r="H158" s="11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3.2" x14ac:dyDescent="0.25">
      <c r="B159" s="1"/>
      <c r="C159" s="26"/>
      <c r="D159" s="26"/>
      <c r="E159" s="1"/>
      <c r="F159" s="1"/>
      <c r="G159" s="1"/>
      <c r="H159" s="11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3.2" x14ac:dyDescent="0.25">
      <c r="B160" s="1"/>
      <c r="C160" s="26"/>
      <c r="D160" s="26"/>
      <c r="E160" s="1"/>
      <c r="F160" s="1"/>
      <c r="G160" s="1"/>
      <c r="H160" s="11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3.2" x14ac:dyDescent="0.25">
      <c r="B161" s="1"/>
      <c r="C161" s="26"/>
      <c r="D161" s="26"/>
      <c r="E161" s="1"/>
      <c r="F161" s="1"/>
      <c r="G161" s="1"/>
      <c r="H161" s="11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3.2" x14ac:dyDescent="0.25">
      <c r="B162" s="1"/>
      <c r="C162" s="26"/>
      <c r="D162" s="26"/>
      <c r="E162" s="1"/>
      <c r="F162" s="1"/>
      <c r="G162" s="1"/>
      <c r="H162" s="11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3.2" x14ac:dyDescent="0.25">
      <c r="B163" s="1"/>
      <c r="C163" s="26"/>
      <c r="D163" s="26"/>
      <c r="E163" s="1"/>
      <c r="F163" s="1"/>
      <c r="G163" s="1"/>
      <c r="H163" s="11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3.2" x14ac:dyDescent="0.25">
      <c r="B164" s="1"/>
      <c r="C164" s="26"/>
      <c r="D164" s="26"/>
      <c r="E164" s="1"/>
      <c r="F164" s="1"/>
      <c r="G164" s="1"/>
      <c r="H164" s="11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3.2" x14ac:dyDescent="0.25">
      <c r="B165" s="1"/>
      <c r="C165" s="26"/>
      <c r="D165" s="26"/>
      <c r="E165" s="1"/>
      <c r="F165" s="1"/>
      <c r="G165" s="1"/>
      <c r="H165" s="11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3.2" x14ac:dyDescent="0.25">
      <c r="B166" s="1"/>
      <c r="C166" s="26"/>
      <c r="D166" s="26"/>
      <c r="E166" s="1"/>
      <c r="F166" s="1"/>
      <c r="G166" s="1"/>
      <c r="H166" s="11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3.2" x14ac:dyDescent="0.25">
      <c r="B167" s="1"/>
      <c r="C167" s="26"/>
      <c r="D167" s="26"/>
      <c r="E167" s="1"/>
      <c r="F167" s="1"/>
      <c r="G167" s="1"/>
      <c r="H167" s="11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3.2" x14ac:dyDescent="0.25">
      <c r="B168" s="1"/>
      <c r="C168" s="26"/>
      <c r="D168" s="26"/>
      <c r="E168" s="1"/>
      <c r="F168" s="1"/>
      <c r="G168" s="1"/>
      <c r="H168" s="11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3.2" x14ac:dyDescent="0.25">
      <c r="B169" s="1"/>
      <c r="C169" s="26"/>
      <c r="D169" s="26"/>
      <c r="E169" s="1"/>
      <c r="F169" s="1"/>
      <c r="G169" s="1"/>
      <c r="H169" s="11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3.2" x14ac:dyDescent="0.25">
      <c r="B170" s="1"/>
      <c r="C170" s="26"/>
      <c r="D170" s="26"/>
      <c r="E170" s="1"/>
      <c r="F170" s="1"/>
      <c r="G170" s="1"/>
      <c r="H170" s="11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3.2" x14ac:dyDescent="0.25">
      <c r="B171" s="1"/>
      <c r="C171" s="26"/>
      <c r="D171" s="26"/>
      <c r="E171" s="1"/>
      <c r="F171" s="1"/>
      <c r="G171" s="1"/>
      <c r="H171" s="11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3.2" x14ac:dyDescent="0.25">
      <c r="B172" s="1"/>
      <c r="C172" s="26"/>
      <c r="D172" s="26"/>
      <c r="E172" s="1"/>
      <c r="F172" s="1"/>
      <c r="G172" s="1"/>
      <c r="H172" s="11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3.2" x14ac:dyDescent="0.25">
      <c r="B173" s="1"/>
      <c r="C173" s="26"/>
      <c r="D173" s="26"/>
      <c r="E173" s="1"/>
      <c r="F173" s="1"/>
      <c r="G173" s="1"/>
      <c r="H173" s="11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3.2" x14ac:dyDescent="0.25">
      <c r="B174" s="1"/>
      <c r="C174" s="26"/>
      <c r="D174" s="26"/>
      <c r="E174" s="1"/>
      <c r="F174" s="1"/>
      <c r="G174" s="1"/>
      <c r="H174" s="11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3.2" x14ac:dyDescent="0.25">
      <c r="B175" s="1"/>
      <c r="C175" s="26"/>
      <c r="D175" s="26"/>
      <c r="E175" s="1"/>
      <c r="F175" s="1"/>
      <c r="G175" s="1"/>
      <c r="H175" s="11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3.2" x14ac:dyDescent="0.25">
      <c r="B176" s="1"/>
      <c r="C176" s="26"/>
      <c r="D176" s="26"/>
      <c r="E176" s="1"/>
      <c r="F176" s="1"/>
      <c r="G176" s="1"/>
      <c r="H176" s="11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3.2" x14ac:dyDescent="0.25">
      <c r="B177" s="1"/>
      <c r="C177" s="26"/>
      <c r="D177" s="26"/>
      <c r="E177" s="1"/>
      <c r="F177" s="1"/>
      <c r="G177" s="1"/>
      <c r="H177" s="11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3.2" x14ac:dyDescent="0.25">
      <c r="B178" s="1"/>
      <c r="C178" s="26"/>
      <c r="D178" s="26"/>
      <c r="E178" s="1"/>
      <c r="F178" s="1"/>
      <c r="G178" s="1"/>
      <c r="H178" s="11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3.2" x14ac:dyDescent="0.25">
      <c r="B179" s="1"/>
      <c r="C179" s="26"/>
      <c r="D179" s="26"/>
      <c r="E179" s="1"/>
      <c r="F179" s="1"/>
      <c r="G179" s="1"/>
      <c r="H179" s="11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3.2" x14ac:dyDescent="0.25">
      <c r="B180" s="1"/>
      <c r="C180" s="26"/>
      <c r="D180" s="26"/>
      <c r="E180" s="1"/>
      <c r="F180" s="1"/>
      <c r="G180" s="1"/>
      <c r="H180" s="11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3.2" x14ac:dyDescent="0.25">
      <c r="B181" s="1"/>
      <c r="C181" s="26"/>
      <c r="D181" s="26"/>
      <c r="E181" s="1"/>
      <c r="F181" s="1"/>
      <c r="G181" s="1"/>
      <c r="H181" s="11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3.2" x14ac:dyDescent="0.25">
      <c r="B182" s="1"/>
      <c r="C182" s="26"/>
      <c r="D182" s="26"/>
      <c r="E182" s="1"/>
      <c r="F182" s="1"/>
      <c r="G182" s="1"/>
      <c r="H182" s="11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3.2" x14ac:dyDescent="0.25">
      <c r="B183" s="1"/>
      <c r="C183" s="26"/>
      <c r="D183" s="26"/>
      <c r="E183" s="1"/>
      <c r="F183" s="1"/>
      <c r="G183" s="1"/>
      <c r="H183" s="11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3.2" x14ac:dyDescent="0.25">
      <c r="B184" s="1"/>
      <c r="C184" s="26"/>
      <c r="D184" s="26"/>
      <c r="E184" s="1"/>
      <c r="F184" s="1"/>
      <c r="G184" s="1"/>
      <c r="H184" s="11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3.2" x14ac:dyDescent="0.25">
      <c r="B185" s="1"/>
      <c r="C185" s="26"/>
      <c r="D185" s="26"/>
      <c r="E185" s="1"/>
      <c r="F185" s="1"/>
      <c r="G185" s="1"/>
      <c r="H185" s="11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3.2" x14ac:dyDescent="0.25">
      <c r="B186" s="1"/>
      <c r="C186" s="26"/>
      <c r="D186" s="26"/>
      <c r="E186" s="1"/>
      <c r="F186" s="1"/>
      <c r="G186" s="1"/>
      <c r="H186" s="11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3.2" x14ac:dyDescent="0.25">
      <c r="B187" s="1"/>
      <c r="C187" s="26"/>
      <c r="D187" s="26"/>
      <c r="E187" s="1"/>
      <c r="F187" s="1"/>
      <c r="G187" s="1"/>
      <c r="H187" s="11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3.2" x14ac:dyDescent="0.25">
      <c r="B188" s="1"/>
      <c r="C188" s="26"/>
      <c r="D188" s="26"/>
      <c r="E188" s="1"/>
      <c r="F188" s="1"/>
      <c r="G188" s="1"/>
      <c r="H188" s="11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3.2" x14ac:dyDescent="0.25">
      <c r="B189" s="1"/>
      <c r="C189" s="26"/>
      <c r="D189" s="26"/>
      <c r="E189" s="1"/>
      <c r="F189" s="1"/>
      <c r="G189" s="1"/>
      <c r="H189" s="11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3.2" x14ac:dyDescent="0.25">
      <c r="B190" s="1"/>
      <c r="C190" s="26"/>
      <c r="D190" s="26"/>
      <c r="E190" s="1"/>
      <c r="F190" s="1"/>
      <c r="G190" s="1"/>
      <c r="H190" s="11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3.2" x14ac:dyDescent="0.25">
      <c r="B191" s="1"/>
      <c r="C191" s="26"/>
      <c r="D191" s="26"/>
      <c r="E191" s="1"/>
      <c r="F191" s="1"/>
      <c r="G191" s="1"/>
      <c r="H191" s="11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3.2" x14ac:dyDescent="0.25">
      <c r="B192" s="1"/>
      <c r="C192" s="26"/>
      <c r="D192" s="26"/>
      <c r="E192" s="1"/>
      <c r="F192" s="1"/>
      <c r="G192" s="1"/>
      <c r="H192" s="11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3.2" x14ac:dyDescent="0.25">
      <c r="B193" s="1"/>
      <c r="C193" s="26"/>
      <c r="D193" s="26"/>
      <c r="E193" s="1"/>
      <c r="F193" s="1"/>
      <c r="G193" s="1"/>
      <c r="H193" s="11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3.2" x14ac:dyDescent="0.25">
      <c r="B194" s="1"/>
      <c r="C194" s="26"/>
      <c r="D194" s="26"/>
      <c r="E194" s="1"/>
      <c r="F194" s="1"/>
      <c r="G194" s="1"/>
      <c r="H194" s="11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3.2" x14ac:dyDescent="0.25">
      <c r="B195" s="1"/>
      <c r="C195" s="26"/>
      <c r="D195" s="26"/>
      <c r="E195" s="1"/>
      <c r="F195" s="1"/>
      <c r="G195" s="1"/>
      <c r="H195" s="11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3.2" x14ac:dyDescent="0.25">
      <c r="B196" s="1"/>
      <c r="C196" s="26"/>
      <c r="D196" s="26"/>
      <c r="E196" s="1"/>
      <c r="F196" s="1"/>
      <c r="G196" s="1"/>
      <c r="H196" s="11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3.2" x14ac:dyDescent="0.25">
      <c r="B197" s="1"/>
      <c r="C197" s="26"/>
      <c r="D197" s="26"/>
      <c r="E197" s="1"/>
      <c r="F197" s="1"/>
      <c r="G197" s="1"/>
      <c r="H197" s="11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3.2" x14ac:dyDescent="0.25">
      <c r="B198" s="1"/>
      <c r="C198" s="26"/>
      <c r="D198" s="26"/>
      <c r="E198" s="1"/>
      <c r="F198" s="1"/>
      <c r="G198" s="1"/>
      <c r="H198" s="11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3.2" x14ac:dyDescent="0.25">
      <c r="B199" s="1"/>
      <c r="C199" s="26"/>
      <c r="D199" s="26"/>
      <c r="E199" s="1"/>
      <c r="F199" s="1"/>
      <c r="G199" s="1"/>
      <c r="H199" s="11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3.2" x14ac:dyDescent="0.25">
      <c r="B200" s="1"/>
      <c r="C200" s="26"/>
      <c r="D200" s="26"/>
      <c r="E200" s="1"/>
      <c r="F200" s="1"/>
      <c r="G200" s="1"/>
      <c r="H200" s="11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3.2" x14ac:dyDescent="0.25">
      <c r="B201" s="1"/>
      <c r="C201" s="26"/>
      <c r="D201" s="26"/>
      <c r="E201" s="1"/>
      <c r="F201" s="1"/>
      <c r="G201" s="1"/>
      <c r="H201" s="11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3.2" x14ac:dyDescent="0.25">
      <c r="B202" s="1"/>
      <c r="C202" s="26"/>
      <c r="D202" s="26"/>
      <c r="E202" s="1"/>
      <c r="F202" s="1"/>
      <c r="G202" s="1"/>
      <c r="H202" s="11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3.2" x14ac:dyDescent="0.25">
      <c r="B203" s="1"/>
      <c r="C203" s="26"/>
      <c r="D203" s="26"/>
      <c r="E203" s="1"/>
      <c r="F203" s="1"/>
      <c r="G203" s="1"/>
      <c r="H203" s="11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3.2" x14ac:dyDescent="0.25">
      <c r="B204" s="1"/>
      <c r="C204" s="26"/>
      <c r="D204" s="26"/>
      <c r="E204" s="1"/>
      <c r="F204" s="1"/>
      <c r="G204" s="1"/>
      <c r="H204" s="11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3.2" x14ac:dyDescent="0.25">
      <c r="B205" s="1"/>
      <c r="C205" s="26"/>
      <c r="D205" s="26"/>
      <c r="E205" s="1"/>
      <c r="F205" s="1"/>
      <c r="G205" s="1"/>
      <c r="H205" s="11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3.2" x14ac:dyDescent="0.25">
      <c r="B206" s="1"/>
      <c r="C206" s="26"/>
      <c r="D206" s="26"/>
      <c r="E206" s="1"/>
      <c r="F206" s="1"/>
      <c r="G206" s="1"/>
      <c r="H206" s="11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3.2" x14ac:dyDescent="0.25">
      <c r="B207" s="1"/>
      <c r="C207" s="26"/>
      <c r="D207" s="26"/>
      <c r="E207" s="1"/>
      <c r="F207" s="1"/>
      <c r="G207" s="1"/>
      <c r="H207" s="11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3.2" x14ac:dyDescent="0.25">
      <c r="B208" s="1"/>
      <c r="C208" s="26"/>
      <c r="D208" s="26"/>
      <c r="E208" s="1"/>
      <c r="F208" s="1"/>
      <c r="G208" s="1"/>
      <c r="H208" s="11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3.2" x14ac:dyDescent="0.25">
      <c r="B209" s="1"/>
      <c r="C209" s="26"/>
      <c r="D209" s="26"/>
      <c r="E209" s="1"/>
      <c r="F209" s="1"/>
      <c r="G209" s="1"/>
      <c r="H209" s="11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3.2" x14ac:dyDescent="0.25">
      <c r="B210" s="1"/>
      <c r="C210" s="26"/>
      <c r="D210" s="26"/>
      <c r="E210" s="1"/>
      <c r="F210" s="1"/>
      <c r="G210" s="1"/>
      <c r="H210" s="11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3.2" x14ac:dyDescent="0.25">
      <c r="B211" s="1"/>
      <c r="C211" s="26"/>
      <c r="D211" s="26"/>
      <c r="E211" s="1"/>
      <c r="F211" s="1"/>
      <c r="G211" s="1"/>
      <c r="H211" s="11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3.2" x14ac:dyDescent="0.25">
      <c r="B212" s="1"/>
      <c r="C212" s="26"/>
      <c r="D212" s="26"/>
      <c r="E212" s="1"/>
      <c r="F212" s="1"/>
      <c r="G212" s="1"/>
      <c r="H212" s="11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3.2" x14ac:dyDescent="0.25">
      <c r="B213" s="1"/>
      <c r="C213" s="26"/>
      <c r="D213" s="26"/>
      <c r="E213" s="1"/>
      <c r="F213" s="1"/>
      <c r="G213" s="1"/>
      <c r="H213" s="11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3.2" x14ac:dyDescent="0.25">
      <c r="B214" s="1"/>
      <c r="C214" s="26"/>
      <c r="D214" s="26"/>
      <c r="E214" s="1"/>
      <c r="F214" s="1"/>
      <c r="G214" s="1"/>
      <c r="H214" s="11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3.2" x14ac:dyDescent="0.25">
      <c r="B215" s="1"/>
      <c r="C215" s="26"/>
      <c r="D215" s="26"/>
      <c r="E215" s="1"/>
      <c r="F215" s="1"/>
      <c r="G215" s="1"/>
      <c r="H215" s="11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3.2" x14ac:dyDescent="0.25">
      <c r="B216" s="1"/>
      <c r="C216" s="26"/>
      <c r="D216" s="26"/>
      <c r="E216" s="1"/>
      <c r="F216" s="1"/>
      <c r="G216" s="1"/>
      <c r="H216" s="11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3.2" x14ac:dyDescent="0.25">
      <c r="B217" s="1"/>
      <c r="C217" s="26"/>
      <c r="D217" s="26"/>
      <c r="E217" s="1"/>
      <c r="F217" s="1"/>
      <c r="G217" s="1"/>
      <c r="H217" s="11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3.2" x14ac:dyDescent="0.25">
      <c r="B218" s="1"/>
      <c r="C218" s="26"/>
      <c r="D218" s="26"/>
      <c r="E218" s="1"/>
      <c r="F218" s="1"/>
      <c r="G218" s="1"/>
      <c r="H218" s="11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3.2" x14ac:dyDescent="0.25">
      <c r="B219" s="1"/>
      <c r="C219" s="26"/>
      <c r="D219" s="26"/>
      <c r="E219" s="1"/>
      <c r="F219" s="1"/>
      <c r="G219" s="1"/>
      <c r="H219" s="11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3.2" x14ac:dyDescent="0.25">
      <c r="B220" s="1"/>
      <c r="C220" s="26"/>
      <c r="D220" s="26"/>
      <c r="E220" s="1"/>
      <c r="F220" s="1"/>
      <c r="G220" s="1"/>
      <c r="H220" s="11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3.2" x14ac:dyDescent="0.25">
      <c r="B221" s="1"/>
      <c r="C221" s="26"/>
      <c r="D221" s="26"/>
      <c r="E221" s="1"/>
      <c r="F221" s="1"/>
      <c r="G221" s="1"/>
      <c r="H221" s="11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3.2" x14ac:dyDescent="0.25">
      <c r="B222" s="1"/>
      <c r="C222" s="26"/>
      <c r="D222" s="26"/>
      <c r="E222" s="1"/>
      <c r="F222" s="1"/>
      <c r="G222" s="1"/>
      <c r="H222" s="11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3.2" x14ac:dyDescent="0.25">
      <c r="B223" s="1"/>
      <c r="C223" s="26"/>
      <c r="D223" s="26"/>
      <c r="E223" s="1"/>
      <c r="F223" s="1"/>
      <c r="G223" s="1"/>
      <c r="H223" s="11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3.2" x14ac:dyDescent="0.25">
      <c r="B224" s="1"/>
      <c r="C224" s="26"/>
      <c r="D224" s="26"/>
      <c r="E224" s="1"/>
      <c r="F224" s="1"/>
      <c r="G224" s="1"/>
      <c r="H224" s="11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3.2" x14ac:dyDescent="0.25">
      <c r="B225" s="1"/>
      <c r="C225" s="26"/>
      <c r="D225" s="26"/>
      <c r="E225" s="1"/>
      <c r="F225" s="1"/>
      <c r="G225" s="1"/>
      <c r="H225" s="11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3.2" x14ac:dyDescent="0.25">
      <c r="B226" s="1"/>
      <c r="C226" s="26"/>
      <c r="D226" s="26"/>
      <c r="E226" s="1"/>
      <c r="F226" s="1"/>
      <c r="G226" s="1"/>
      <c r="H226" s="11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3.2" x14ac:dyDescent="0.25">
      <c r="B227" s="1"/>
      <c r="C227" s="26"/>
      <c r="D227" s="26"/>
      <c r="E227" s="1"/>
      <c r="F227" s="1"/>
      <c r="G227" s="1"/>
      <c r="H227" s="11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3.2" x14ac:dyDescent="0.25">
      <c r="B228" s="1"/>
      <c r="C228" s="26"/>
      <c r="D228" s="26"/>
      <c r="E228" s="1"/>
      <c r="F228" s="1"/>
      <c r="G228" s="1"/>
      <c r="H228" s="11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3.2" x14ac:dyDescent="0.25">
      <c r="B229" s="1"/>
      <c r="C229" s="26"/>
      <c r="D229" s="26"/>
      <c r="E229" s="1"/>
      <c r="F229" s="1"/>
      <c r="G229" s="1"/>
      <c r="H229" s="11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3.2" x14ac:dyDescent="0.25">
      <c r="B230" s="1"/>
      <c r="C230" s="26"/>
      <c r="D230" s="26"/>
      <c r="E230" s="1"/>
      <c r="F230" s="1"/>
      <c r="G230" s="1"/>
      <c r="H230" s="11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3.2" x14ac:dyDescent="0.25">
      <c r="B231" s="1"/>
      <c r="C231" s="26"/>
      <c r="D231" s="26"/>
      <c r="E231" s="1"/>
      <c r="F231" s="1"/>
      <c r="G231" s="1"/>
      <c r="H231" s="11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3.2" x14ac:dyDescent="0.25">
      <c r="B232" s="1"/>
      <c r="C232" s="26"/>
      <c r="D232" s="26"/>
      <c r="E232" s="1"/>
      <c r="F232" s="1"/>
      <c r="G232" s="1"/>
      <c r="H232" s="11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3.2" x14ac:dyDescent="0.25">
      <c r="B233" s="1"/>
      <c r="C233" s="26"/>
      <c r="D233" s="26"/>
      <c r="E233" s="1"/>
      <c r="F233" s="1"/>
      <c r="G233" s="1"/>
      <c r="H233" s="11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3.2" x14ac:dyDescent="0.25">
      <c r="B234" s="1"/>
      <c r="C234" s="26"/>
      <c r="D234" s="26"/>
      <c r="E234" s="1"/>
      <c r="F234" s="1"/>
      <c r="G234" s="1"/>
      <c r="H234" s="11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3.2" x14ac:dyDescent="0.25">
      <c r="B235" s="1"/>
      <c r="C235" s="26"/>
      <c r="D235" s="26"/>
      <c r="E235" s="1"/>
      <c r="F235" s="1"/>
      <c r="G235" s="1"/>
      <c r="H235" s="11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3.2" x14ac:dyDescent="0.25">
      <c r="B236" s="1"/>
      <c r="C236" s="26"/>
      <c r="D236" s="26"/>
      <c r="E236" s="1"/>
      <c r="F236" s="1"/>
      <c r="G236" s="1"/>
      <c r="H236" s="11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3.2" x14ac:dyDescent="0.25">
      <c r="B237" s="1"/>
      <c r="C237" s="26"/>
      <c r="D237" s="26"/>
      <c r="E237" s="1"/>
      <c r="F237" s="1"/>
      <c r="G237" s="1"/>
      <c r="H237" s="11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3.2" x14ac:dyDescent="0.25">
      <c r="B238" s="1"/>
      <c r="C238" s="26"/>
      <c r="D238" s="26"/>
      <c r="E238" s="1"/>
      <c r="F238" s="1"/>
      <c r="G238" s="1"/>
      <c r="H238" s="11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3.2" x14ac:dyDescent="0.25">
      <c r="B239" s="1"/>
      <c r="C239" s="26"/>
      <c r="D239" s="26"/>
      <c r="E239" s="1"/>
      <c r="F239" s="1"/>
      <c r="G239" s="1"/>
      <c r="H239" s="11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3.2" x14ac:dyDescent="0.25">
      <c r="B240" s="1"/>
      <c r="C240" s="26"/>
      <c r="D240" s="26"/>
      <c r="E240" s="1"/>
      <c r="F240" s="1"/>
      <c r="G240" s="1"/>
      <c r="H240" s="11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3.2" x14ac:dyDescent="0.25">
      <c r="B241" s="1"/>
      <c r="C241" s="26"/>
      <c r="D241" s="26"/>
      <c r="E241" s="1"/>
      <c r="F241" s="1"/>
      <c r="G241" s="1"/>
      <c r="H241" s="11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3.2" x14ac:dyDescent="0.25">
      <c r="B242" s="1"/>
      <c r="C242" s="26"/>
      <c r="D242" s="26"/>
      <c r="E242" s="1"/>
      <c r="F242" s="1"/>
      <c r="G242" s="1"/>
      <c r="H242" s="11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3.2" x14ac:dyDescent="0.25">
      <c r="B243" s="1"/>
      <c r="C243" s="26"/>
      <c r="D243" s="26"/>
      <c r="E243" s="1"/>
      <c r="F243" s="1"/>
      <c r="G243" s="1"/>
      <c r="H243" s="11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3.2" x14ac:dyDescent="0.25">
      <c r="B244" s="1"/>
      <c r="C244" s="26"/>
      <c r="D244" s="26"/>
      <c r="E244" s="1"/>
      <c r="F244" s="1"/>
      <c r="G244" s="1"/>
      <c r="H244" s="11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3.2" x14ac:dyDescent="0.25">
      <c r="B245" s="1"/>
      <c r="C245" s="26"/>
      <c r="D245" s="26"/>
      <c r="E245" s="1"/>
      <c r="F245" s="1"/>
      <c r="G245" s="1"/>
      <c r="H245" s="11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3.2" x14ac:dyDescent="0.25">
      <c r="B246" s="1"/>
      <c r="C246" s="26"/>
      <c r="D246" s="26"/>
      <c r="E246" s="1"/>
      <c r="F246" s="1"/>
      <c r="G246" s="1"/>
      <c r="H246" s="11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3.2" x14ac:dyDescent="0.25">
      <c r="B247" s="1"/>
      <c r="C247" s="26"/>
      <c r="D247" s="26"/>
      <c r="E247" s="1"/>
      <c r="F247" s="1"/>
      <c r="G247" s="1"/>
      <c r="H247" s="11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3.2" x14ac:dyDescent="0.25">
      <c r="B248" s="1"/>
      <c r="C248" s="26"/>
      <c r="D248" s="26"/>
      <c r="E248" s="1"/>
      <c r="F248" s="1"/>
      <c r="G248" s="1"/>
      <c r="H248" s="11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3.2" x14ac:dyDescent="0.25">
      <c r="B249" s="1"/>
      <c r="C249" s="26"/>
      <c r="D249" s="26"/>
      <c r="E249" s="1"/>
      <c r="F249" s="1"/>
      <c r="G249" s="1"/>
      <c r="H249" s="11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3.2" x14ac:dyDescent="0.25">
      <c r="B250" s="1"/>
      <c r="C250" s="26"/>
      <c r="D250" s="26"/>
      <c r="E250" s="1"/>
      <c r="F250" s="1"/>
      <c r="G250" s="1"/>
      <c r="H250" s="11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3.2" x14ac:dyDescent="0.25">
      <c r="B251" s="1"/>
      <c r="C251" s="26"/>
      <c r="D251" s="26"/>
      <c r="E251" s="1"/>
      <c r="F251" s="1"/>
      <c r="G251" s="1"/>
      <c r="H251" s="11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3.2" x14ac:dyDescent="0.25">
      <c r="B252" s="1"/>
      <c r="C252" s="26"/>
      <c r="D252" s="26"/>
      <c r="E252" s="1"/>
      <c r="F252" s="1"/>
      <c r="G252" s="1"/>
      <c r="H252" s="11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3.2" x14ac:dyDescent="0.25">
      <c r="B253" s="1"/>
      <c r="C253" s="26"/>
      <c r="D253" s="26"/>
      <c r="E253" s="1"/>
      <c r="F253" s="1"/>
      <c r="G253" s="1"/>
      <c r="H253" s="11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3.2" x14ac:dyDescent="0.25">
      <c r="B254" s="1"/>
      <c r="C254" s="26"/>
      <c r="D254" s="26"/>
      <c r="E254" s="1"/>
      <c r="F254" s="1"/>
      <c r="G254" s="1"/>
      <c r="H254" s="11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3.2" x14ac:dyDescent="0.25">
      <c r="B255" s="1"/>
      <c r="C255" s="26"/>
      <c r="D255" s="26"/>
      <c r="E255" s="1"/>
      <c r="F255" s="1"/>
      <c r="G255" s="1"/>
      <c r="H255" s="11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3.2" x14ac:dyDescent="0.25">
      <c r="B256" s="1"/>
      <c r="C256" s="26"/>
      <c r="D256" s="26"/>
      <c r="E256" s="1"/>
      <c r="F256" s="1"/>
      <c r="G256" s="1"/>
      <c r="H256" s="11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3.2" x14ac:dyDescent="0.25">
      <c r="B257" s="1"/>
      <c r="C257" s="26"/>
      <c r="D257" s="26"/>
      <c r="E257" s="1"/>
      <c r="F257" s="1"/>
      <c r="G257" s="1"/>
      <c r="H257" s="11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3.2" x14ac:dyDescent="0.25">
      <c r="B258" s="1"/>
      <c r="C258" s="26"/>
      <c r="D258" s="26"/>
      <c r="E258" s="1"/>
      <c r="F258" s="1"/>
      <c r="G258" s="1"/>
      <c r="H258" s="11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3.2" x14ac:dyDescent="0.25">
      <c r="B259" s="1"/>
      <c r="C259" s="26"/>
      <c r="D259" s="26"/>
      <c r="E259" s="1"/>
      <c r="F259" s="1"/>
      <c r="G259" s="1"/>
      <c r="H259" s="11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3.2" x14ac:dyDescent="0.25">
      <c r="B260" s="1"/>
      <c r="C260" s="26"/>
      <c r="D260" s="26"/>
      <c r="E260" s="1"/>
      <c r="F260" s="1"/>
      <c r="G260" s="1"/>
      <c r="H260" s="11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3.2" x14ac:dyDescent="0.25">
      <c r="B261" s="1"/>
      <c r="C261" s="26"/>
      <c r="D261" s="26"/>
      <c r="E261" s="1"/>
      <c r="F261" s="1"/>
      <c r="G261" s="1"/>
      <c r="H261" s="11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3.2" x14ac:dyDescent="0.25">
      <c r="B262" s="1"/>
      <c r="C262" s="26"/>
      <c r="D262" s="26"/>
      <c r="E262" s="1"/>
      <c r="F262" s="1"/>
      <c r="G262" s="1"/>
      <c r="H262" s="11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3.2" x14ac:dyDescent="0.25">
      <c r="B263" s="1"/>
      <c r="C263" s="26"/>
      <c r="D263" s="26"/>
      <c r="E263" s="1"/>
      <c r="F263" s="1"/>
      <c r="G263" s="1"/>
      <c r="H263" s="11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3.2" x14ac:dyDescent="0.25">
      <c r="B264" s="1"/>
      <c r="C264" s="26"/>
      <c r="D264" s="26"/>
      <c r="E264" s="1"/>
      <c r="F264" s="1"/>
      <c r="G264" s="1"/>
      <c r="H264" s="11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3.2" x14ac:dyDescent="0.25">
      <c r="B265" s="1"/>
      <c r="C265" s="26"/>
      <c r="D265" s="26"/>
      <c r="E265" s="1"/>
      <c r="F265" s="1"/>
      <c r="G265" s="1"/>
      <c r="H265" s="11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3.2" x14ac:dyDescent="0.25">
      <c r="B266" s="1"/>
      <c r="C266" s="26"/>
      <c r="D266" s="26"/>
      <c r="E266" s="1"/>
      <c r="F266" s="1"/>
      <c r="G266" s="1"/>
      <c r="H266" s="11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3.2" x14ac:dyDescent="0.25">
      <c r="B267" s="1"/>
      <c r="C267" s="26"/>
      <c r="D267" s="26"/>
      <c r="E267" s="1"/>
      <c r="F267" s="1"/>
      <c r="G267" s="1"/>
      <c r="H267" s="11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3.2" x14ac:dyDescent="0.25">
      <c r="B268" s="1"/>
      <c r="C268" s="26"/>
      <c r="D268" s="26"/>
      <c r="E268" s="1"/>
      <c r="F268" s="1"/>
      <c r="G268" s="1"/>
      <c r="H268" s="11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3.2" x14ac:dyDescent="0.25">
      <c r="B269" s="1"/>
      <c r="C269" s="26"/>
      <c r="D269" s="26"/>
      <c r="E269" s="1"/>
      <c r="F269" s="1"/>
      <c r="G269" s="1"/>
      <c r="H269" s="11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3.2" x14ac:dyDescent="0.25">
      <c r="B270" s="1"/>
      <c r="C270" s="26"/>
      <c r="D270" s="26"/>
      <c r="E270" s="1"/>
      <c r="F270" s="1"/>
      <c r="G270" s="1"/>
      <c r="H270" s="11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3.2" x14ac:dyDescent="0.25">
      <c r="B271" s="1"/>
      <c r="C271" s="26"/>
      <c r="D271" s="26"/>
      <c r="E271" s="1"/>
      <c r="F271" s="1"/>
      <c r="G271" s="1"/>
      <c r="H271" s="11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3.2" x14ac:dyDescent="0.25">
      <c r="B272" s="1"/>
      <c r="C272" s="26"/>
      <c r="D272" s="26"/>
      <c r="E272" s="1"/>
      <c r="F272" s="1"/>
      <c r="G272" s="1"/>
      <c r="H272" s="11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3.2" x14ac:dyDescent="0.25">
      <c r="B273" s="1"/>
      <c r="C273" s="26"/>
      <c r="D273" s="26"/>
      <c r="E273" s="1"/>
      <c r="F273" s="1"/>
      <c r="G273" s="1"/>
      <c r="H273" s="11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3.2" x14ac:dyDescent="0.25">
      <c r="B274" s="1"/>
      <c r="C274" s="26"/>
      <c r="D274" s="26"/>
      <c r="E274" s="1"/>
      <c r="F274" s="1"/>
      <c r="G274" s="1"/>
      <c r="H274" s="11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3.2" x14ac:dyDescent="0.25">
      <c r="B275" s="1"/>
      <c r="C275" s="26"/>
      <c r="D275" s="26"/>
      <c r="E275" s="1"/>
      <c r="F275" s="1"/>
      <c r="G275" s="1"/>
      <c r="H275" s="11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3.2" x14ac:dyDescent="0.25">
      <c r="B276" s="1"/>
      <c r="C276" s="26"/>
      <c r="D276" s="26"/>
      <c r="E276" s="1"/>
      <c r="F276" s="1"/>
      <c r="G276" s="1"/>
      <c r="H276" s="11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3.2" x14ac:dyDescent="0.25">
      <c r="B277" s="1"/>
      <c r="C277" s="26"/>
      <c r="D277" s="26"/>
      <c r="E277" s="1"/>
      <c r="F277" s="1"/>
      <c r="G277" s="1"/>
      <c r="H277" s="11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3.2" x14ac:dyDescent="0.25">
      <c r="B278" s="1"/>
      <c r="C278" s="26"/>
      <c r="D278" s="26"/>
      <c r="E278" s="1"/>
      <c r="F278" s="1"/>
      <c r="G278" s="1"/>
      <c r="H278" s="11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3.2" x14ac:dyDescent="0.25">
      <c r="B279" s="1"/>
      <c r="C279" s="26"/>
      <c r="D279" s="26"/>
      <c r="E279" s="1"/>
      <c r="F279" s="1"/>
      <c r="G279" s="1"/>
      <c r="H279" s="11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3.2" x14ac:dyDescent="0.25">
      <c r="B280" s="1"/>
      <c r="C280" s="26"/>
      <c r="D280" s="26"/>
      <c r="E280" s="1"/>
      <c r="F280" s="1"/>
      <c r="G280" s="1"/>
      <c r="H280" s="11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3.2" x14ac:dyDescent="0.25">
      <c r="B281" s="1"/>
      <c r="C281" s="26"/>
      <c r="D281" s="26"/>
      <c r="E281" s="1"/>
      <c r="F281" s="1"/>
      <c r="G281" s="1"/>
      <c r="H281" s="11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3.2" x14ac:dyDescent="0.25">
      <c r="B282" s="1"/>
      <c r="C282" s="26"/>
      <c r="D282" s="26"/>
      <c r="E282" s="1"/>
      <c r="F282" s="1"/>
      <c r="G282" s="1"/>
      <c r="H282" s="11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3.2" x14ac:dyDescent="0.25">
      <c r="B283" s="1"/>
      <c r="C283" s="26"/>
      <c r="D283" s="26"/>
      <c r="E283" s="1"/>
      <c r="F283" s="1"/>
      <c r="G283" s="1"/>
      <c r="H283" s="11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3.2" x14ac:dyDescent="0.25">
      <c r="B284" s="1"/>
      <c r="C284" s="26"/>
      <c r="D284" s="26"/>
      <c r="E284" s="1"/>
      <c r="F284" s="1"/>
      <c r="G284" s="1"/>
      <c r="H284" s="11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3.2" x14ac:dyDescent="0.25">
      <c r="B285" s="1"/>
      <c r="C285" s="26"/>
      <c r="D285" s="26"/>
      <c r="E285" s="1"/>
      <c r="F285" s="1"/>
      <c r="G285" s="1"/>
      <c r="H285" s="11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3.2" x14ac:dyDescent="0.25">
      <c r="B286" s="1"/>
      <c r="C286" s="26"/>
      <c r="D286" s="26"/>
      <c r="E286" s="1"/>
      <c r="F286" s="1"/>
      <c r="G286" s="1"/>
      <c r="H286" s="11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3.2" x14ac:dyDescent="0.25">
      <c r="B287" s="1"/>
      <c r="C287" s="26"/>
      <c r="D287" s="26"/>
      <c r="E287" s="1"/>
      <c r="F287" s="1"/>
      <c r="G287" s="1"/>
      <c r="H287" s="11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3.2" x14ac:dyDescent="0.25">
      <c r="B288" s="1"/>
      <c r="C288" s="26"/>
      <c r="D288" s="26"/>
      <c r="E288" s="1"/>
      <c r="F288" s="1"/>
      <c r="G288" s="1"/>
      <c r="H288" s="11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3.2" x14ac:dyDescent="0.25">
      <c r="B289" s="1"/>
      <c r="C289" s="26"/>
      <c r="D289" s="26"/>
      <c r="E289" s="1"/>
      <c r="F289" s="1"/>
      <c r="G289" s="1"/>
      <c r="H289" s="11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3.2" x14ac:dyDescent="0.25">
      <c r="B290" s="1"/>
      <c r="C290" s="26"/>
      <c r="D290" s="26"/>
      <c r="E290" s="1"/>
      <c r="F290" s="1"/>
      <c r="G290" s="1"/>
      <c r="H290" s="11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3.2" x14ac:dyDescent="0.25">
      <c r="B291" s="1"/>
      <c r="C291" s="26"/>
      <c r="D291" s="26"/>
      <c r="E291" s="1"/>
      <c r="F291" s="1"/>
      <c r="G291" s="1"/>
      <c r="H291" s="11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3.2" x14ac:dyDescent="0.25">
      <c r="B292" s="1"/>
      <c r="C292" s="26"/>
      <c r="D292" s="26"/>
      <c r="E292" s="1"/>
      <c r="F292" s="1"/>
      <c r="G292" s="1"/>
      <c r="H292" s="11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3.2" x14ac:dyDescent="0.25">
      <c r="B293" s="1"/>
      <c r="C293" s="26"/>
      <c r="D293" s="26"/>
      <c r="E293" s="1"/>
      <c r="F293" s="1"/>
      <c r="G293" s="1"/>
      <c r="H293" s="11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3.2" x14ac:dyDescent="0.25">
      <c r="B294" s="1"/>
      <c r="C294" s="26"/>
      <c r="D294" s="26"/>
      <c r="E294" s="1"/>
      <c r="F294" s="1"/>
      <c r="G294" s="1"/>
      <c r="H294" s="11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3.2" x14ac:dyDescent="0.25">
      <c r="B295" s="1"/>
      <c r="C295" s="26"/>
      <c r="D295" s="26"/>
      <c r="E295" s="1"/>
      <c r="F295" s="1"/>
      <c r="G295" s="1"/>
      <c r="H295" s="11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3.2" x14ac:dyDescent="0.25">
      <c r="B296" s="1"/>
      <c r="C296" s="26"/>
      <c r="D296" s="26"/>
      <c r="E296" s="1"/>
      <c r="F296" s="1"/>
      <c r="G296" s="1"/>
      <c r="H296" s="11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3.2" x14ac:dyDescent="0.25">
      <c r="B297" s="1"/>
      <c r="C297" s="26"/>
      <c r="D297" s="26"/>
      <c r="E297" s="1"/>
      <c r="F297" s="1"/>
      <c r="G297" s="1"/>
      <c r="H297" s="11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3.2" x14ac:dyDescent="0.25">
      <c r="B298" s="1"/>
      <c r="C298" s="26"/>
      <c r="D298" s="26"/>
      <c r="E298" s="1"/>
      <c r="F298" s="1"/>
      <c r="G298" s="1"/>
      <c r="H298" s="11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3.2" x14ac:dyDescent="0.25">
      <c r="B299" s="1"/>
      <c r="C299" s="26"/>
      <c r="D299" s="26"/>
      <c r="E299" s="1"/>
      <c r="F299" s="1"/>
      <c r="G299" s="1"/>
      <c r="H299" s="11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3.2" x14ac:dyDescent="0.25">
      <c r="B300" s="1"/>
      <c r="C300" s="26"/>
      <c r="D300" s="26"/>
      <c r="E300" s="1"/>
      <c r="F300" s="1"/>
      <c r="G300" s="1"/>
      <c r="H300" s="11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3.2" x14ac:dyDescent="0.25">
      <c r="B301" s="1"/>
      <c r="C301" s="26"/>
      <c r="D301" s="26"/>
      <c r="E301" s="1"/>
      <c r="F301" s="1"/>
      <c r="G301" s="1"/>
      <c r="H301" s="11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3.2" x14ac:dyDescent="0.25">
      <c r="B302" s="1"/>
      <c r="C302" s="26"/>
      <c r="D302" s="26"/>
      <c r="E302" s="1"/>
      <c r="F302" s="1"/>
      <c r="G302" s="1"/>
      <c r="H302" s="11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3.2" x14ac:dyDescent="0.25">
      <c r="B303" s="1"/>
      <c r="C303" s="26"/>
      <c r="D303" s="26"/>
      <c r="E303" s="1"/>
      <c r="F303" s="1"/>
      <c r="G303" s="1"/>
      <c r="H303" s="11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3.2" x14ac:dyDescent="0.25">
      <c r="B304" s="1"/>
      <c r="C304" s="26"/>
      <c r="D304" s="26"/>
      <c r="E304" s="1"/>
      <c r="F304" s="1"/>
      <c r="G304" s="1"/>
      <c r="H304" s="11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3.2" x14ac:dyDescent="0.25">
      <c r="B305" s="1"/>
      <c r="C305" s="26"/>
      <c r="D305" s="26"/>
      <c r="E305" s="1"/>
      <c r="F305" s="1"/>
      <c r="G305" s="1"/>
      <c r="H305" s="11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3.2" x14ac:dyDescent="0.25">
      <c r="B306" s="1"/>
      <c r="C306" s="26"/>
      <c r="D306" s="26"/>
      <c r="E306" s="1"/>
      <c r="F306" s="1"/>
      <c r="G306" s="1"/>
      <c r="H306" s="11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3.2" x14ac:dyDescent="0.25">
      <c r="B307" s="1"/>
      <c r="C307" s="26"/>
      <c r="D307" s="26"/>
      <c r="E307" s="1"/>
      <c r="F307" s="1"/>
      <c r="G307" s="1"/>
      <c r="H307" s="11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3.2" x14ac:dyDescent="0.25">
      <c r="B308" s="1"/>
      <c r="C308" s="26"/>
      <c r="D308" s="26"/>
      <c r="E308" s="1"/>
      <c r="F308" s="1"/>
      <c r="G308" s="1"/>
      <c r="H308" s="11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3.2" x14ac:dyDescent="0.25">
      <c r="B309" s="1"/>
      <c r="C309" s="26"/>
      <c r="D309" s="26"/>
      <c r="E309" s="1"/>
      <c r="F309" s="1"/>
      <c r="G309" s="1"/>
      <c r="H309" s="11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3.2" x14ac:dyDescent="0.25">
      <c r="B310" s="1"/>
      <c r="C310" s="26"/>
      <c r="D310" s="26"/>
      <c r="E310" s="1"/>
      <c r="F310" s="1"/>
      <c r="G310" s="1"/>
      <c r="H310" s="11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3.2" x14ac:dyDescent="0.25">
      <c r="B311" s="1"/>
      <c r="C311" s="26"/>
      <c r="D311" s="26"/>
      <c r="E311" s="1"/>
      <c r="F311" s="1"/>
      <c r="G311" s="1"/>
      <c r="H311" s="11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3.2" x14ac:dyDescent="0.25">
      <c r="B312" s="1"/>
      <c r="C312" s="26"/>
      <c r="D312" s="26"/>
      <c r="E312" s="1"/>
      <c r="F312" s="1"/>
      <c r="G312" s="1"/>
      <c r="H312" s="11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3.2" x14ac:dyDescent="0.25">
      <c r="B313" s="1"/>
      <c r="C313" s="26"/>
      <c r="D313" s="26"/>
      <c r="E313" s="1"/>
      <c r="F313" s="1"/>
      <c r="G313" s="1"/>
      <c r="H313" s="11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3.2" x14ac:dyDescent="0.25">
      <c r="B314" s="1"/>
      <c r="C314" s="26"/>
      <c r="D314" s="26"/>
      <c r="E314" s="1"/>
      <c r="F314" s="1"/>
      <c r="G314" s="1"/>
      <c r="H314" s="11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3.2" x14ac:dyDescent="0.25">
      <c r="B315" s="1"/>
      <c r="C315" s="26"/>
      <c r="D315" s="26"/>
      <c r="E315" s="1"/>
      <c r="F315" s="1"/>
      <c r="G315" s="1"/>
      <c r="H315" s="11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3.2" x14ac:dyDescent="0.25">
      <c r="B316" s="1"/>
      <c r="C316" s="26"/>
      <c r="D316" s="26"/>
      <c r="E316" s="1"/>
      <c r="F316" s="1"/>
      <c r="G316" s="1"/>
      <c r="H316" s="11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3.2" x14ac:dyDescent="0.25">
      <c r="B317" s="1"/>
      <c r="C317" s="26"/>
      <c r="D317" s="26"/>
      <c r="E317" s="1"/>
      <c r="F317" s="1"/>
      <c r="G317" s="1"/>
      <c r="H317" s="11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3.2" x14ac:dyDescent="0.25">
      <c r="B318" s="1"/>
      <c r="C318" s="26"/>
      <c r="D318" s="26"/>
      <c r="E318" s="1"/>
      <c r="F318" s="1"/>
      <c r="G318" s="1"/>
      <c r="H318" s="11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3.2" x14ac:dyDescent="0.25">
      <c r="B319" s="1"/>
      <c r="C319" s="26"/>
      <c r="D319" s="26"/>
      <c r="E319" s="1"/>
      <c r="F319" s="1"/>
      <c r="G319" s="1"/>
      <c r="H319" s="11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3.2" x14ac:dyDescent="0.25">
      <c r="B320" s="1"/>
      <c r="C320" s="26"/>
      <c r="D320" s="26"/>
      <c r="E320" s="1"/>
      <c r="F320" s="1"/>
      <c r="G320" s="1"/>
      <c r="H320" s="11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3.2" x14ac:dyDescent="0.25">
      <c r="B321" s="1"/>
      <c r="C321" s="26"/>
      <c r="D321" s="26"/>
      <c r="E321" s="1"/>
      <c r="F321" s="1"/>
      <c r="G321" s="1"/>
      <c r="H321" s="11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3.2" x14ac:dyDescent="0.25">
      <c r="B322" s="1"/>
      <c r="C322" s="26"/>
      <c r="D322" s="26"/>
      <c r="E322" s="1"/>
      <c r="F322" s="1"/>
      <c r="G322" s="1"/>
      <c r="H322" s="11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3.2" x14ac:dyDescent="0.25">
      <c r="B323" s="1"/>
      <c r="C323" s="26"/>
      <c r="D323" s="26"/>
      <c r="E323" s="1"/>
      <c r="F323" s="1"/>
      <c r="G323" s="1"/>
      <c r="H323" s="11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3.2" x14ac:dyDescent="0.25">
      <c r="B324" s="1"/>
      <c r="C324" s="26"/>
      <c r="D324" s="26"/>
      <c r="E324" s="1"/>
      <c r="F324" s="1"/>
      <c r="G324" s="1"/>
      <c r="H324" s="11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3.2" x14ac:dyDescent="0.25">
      <c r="B325" s="1"/>
      <c r="C325" s="26"/>
      <c r="D325" s="26"/>
      <c r="E325" s="1"/>
      <c r="F325" s="1"/>
      <c r="G325" s="1"/>
      <c r="H325" s="11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3.2" x14ac:dyDescent="0.25">
      <c r="B326" s="1"/>
      <c r="C326" s="26"/>
      <c r="D326" s="26"/>
      <c r="E326" s="1"/>
      <c r="F326" s="1"/>
      <c r="G326" s="1"/>
      <c r="H326" s="11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3.2" x14ac:dyDescent="0.25">
      <c r="B327" s="1"/>
      <c r="C327" s="26"/>
      <c r="D327" s="26"/>
      <c r="E327" s="1"/>
      <c r="F327" s="1"/>
      <c r="G327" s="1"/>
      <c r="H327" s="11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3.2" x14ac:dyDescent="0.25">
      <c r="B328" s="1"/>
      <c r="C328" s="26"/>
      <c r="D328" s="26"/>
      <c r="E328" s="1"/>
      <c r="F328" s="1"/>
      <c r="G328" s="1"/>
      <c r="H328" s="11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3.2" x14ac:dyDescent="0.25">
      <c r="B329" s="1"/>
      <c r="C329" s="26"/>
      <c r="D329" s="26"/>
      <c r="E329" s="1"/>
      <c r="F329" s="1"/>
      <c r="G329" s="1"/>
      <c r="H329" s="11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3.2" x14ac:dyDescent="0.25">
      <c r="B330" s="1"/>
      <c r="C330" s="26"/>
      <c r="D330" s="26"/>
      <c r="E330" s="1"/>
      <c r="F330" s="1"/>
      <c r="G330" s="1"/>
      <c r="H330" s="11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3.2" x14ac:dyDescent="0.25">
      <c r="B331" s="1"/>
      <c r="C331" s="26"/>
      <c r="D331" s="26"/>
      <c r="E331" s="1"/>
      <c r="F331" s="1"/>
      <c r="G331" s="1"/>
      <c r="H331" s="11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3.2" x14ac:dyDescent="0.25">
      <c r="B332" s="1"/>
      <c r="C332" s="26"/>
      <c r="D332" s="26"/>
      <c r="E332" s="1"/>
      <c r="F332" s="1"/>
      <c r="G332" s="1"/>
      <c r="H332" s="11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3.2" x14ac:dyDescent="0.25">
      <c r="B333" s="1"/>
      <c r="C333" s="26"/>
      <c r="D333" s="26"/>
      <c r="E333" s="1"/>
      <c r="F333" s="1"/>
      <c r="G333" s="1"/>
      <c r="H333" s="11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3.2" x14ac:dyDescent="0.25">
      <c r="B334" s="1"/>
      <c r="C334" s="26"/>
      <c r="D334" s="26"/>
      <c r="E334" s="1"/>
      <c r="F334" s="1"/>
      <c r="G334" s="1"/>
      <c r="H334" s="11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3.2" x14ac:dyDescent="0.25">
      <c r="B335" s="1"/>
      <c r="C335" s="26"/>
      <c r="D335" s="26"/>
      <c r="E335" s="1"/>
      <c r="F335" s="1"/>
      <c r="G335" s="1"/>
      <c r="H335" s="11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3.2" x14ac:dyDescent="0.25">
      <c r="B336" s="1"/>
      <c r="C336" s="26"/>
      <c r="D336" s="26"/>
      <c r="E336" s="1"/>
      <c r="F336" s="1"/>
      <c r="G336" s="1"/>
      <c r="H336" s="11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3.2" x14ac:dyDescent="0.25">
      <c r="B337" s="1"/>
      <c r="C337" s="26"/>
      <c r="D337" s="26"/>
      <c r="E337" s="1"/>
      <c r="F337" s="1"/>
      <c r="G337" s="1"/>
      <c r="H337" s="11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3.2" x14ac:dyDescent="0.25">
      <c r="B338" s="1"/>
      <c r="C338" s="26"/>
      <c r="D338" s="26"/>
      <c r="E338" s="1"/>
      <c r="F338" s="1"/>
      <c r="G338" s="1"/>
      <c r="H338" s="11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3.2" x14ac:dyDescent="0.25">
      <c r="B339" s="1"/>
      <c r="C339" s="26"/>
      <c r="D339" s="26"/>
      <c r="E339" s="1"/>
      <c r="F339" s="1"/>
      <c r="G339" s="1"/>
      <c r="H339" s="11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3.2" x14ac:dyDescent="0.25">
      <c r="B340" s="1"/>
      <c r="C340" s="26"/>
      <c r="D340" s="26"/>
      <c r="E340" s="1"/>
      <c r="F340" s="1"/>
      <c r="G340" s="1"/>
      <c r="H340" s="11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3.2" x14ac:dyDescent="0.25">
      <c r="B341" s="1"/>
      <c r="C341" s="26"/>
      <c r="D341" s="26"/>
      <c r="E341" s="1"/>
      <c r="F341" s="1"/>
      <c r="G341" s="1"/>
      <c r="H341" s="11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3.2" x14ac:dyDescent="0.25">
      <c r="B342" s="1"/>
      <c r="C342" s="26"/>
      <c r="D342" s="26"/>
      <c r="E342" s="1"/>
      <c r="F342" s="1"/>
      <c r="G342" s="1"/>
      <c r="H342" s="11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3.2" x14ac:dyDescent="0.25">
      <c r="B343" s="1"/>
      <c r="C343" s="26"/>
      <c r="D343" s="26"/>
      <c r="E343" s="1"/>
      <c r="F343" s="1"/>
      <c r="G343" s="1"/>
      <c r="H343" s="11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3.2" x14ac:dyDescent="0.25">
      <c r="B344" s="1"/>
      <c r="C344" s="26"/>
      <c r="D344" s="26"/>
      <c r="E344" s="1"/>
      <c r="F344" s="1"/>
      <c r="G344" s="1"/>
      <c r="H344" s="11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3.2" x14ac:dyDescent="0.25">
      <c r="B345" s="1"/>
      <c r="C345" s="26"/>
      <c r="D345" s="26"/>
      <c r="E345" s="1"/>
      <c r="F345" s="1"/>
      <c r="G345" s="1"/>
      <c r="H345" s="11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3.2" x14ac:dyDescent="0.25">
      <c r="B346" s="1"/>
      <c r="C346" s="26"/>
      <c r="D346" s="26"/>
      <c r="E346" s="1"/>
      <c r="F346" s="1"/>
      <c r="G346" s="1"/>
      <c r="H346" s="11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3.2" x14ac:dyDescent="0.25">
      <c r="B347" s="1"/>
      <c r="C347" s="26"/>
      <c r="D347" s="26"/>
      <c r="E347" s="1"/>
      <c r="F347" s="1"/>
      <c r="G347" s="1"/>
      <c r="H347" s="11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3.2" x14ac:dyDescent="0.25">
      <c r="B348" s="1"/>
      <c r="C348" s="26"/>
      <c r="D348" s="26"/>
      <c r="E348" s="1"/>
      <c r="F348" s="1"/>
      <c r="G348" s="1"/>
      <c r="H348" s="11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3.2" x14ac:dyDescent="0.25">
      <c r="B349" s="1"/>
      <c r="C349" s="26"/>
      <c r="D349" s="26"/>
      <c r="E349" s="1"/>
      <c r="F349" s="1"/>
      <c r="G349" s="1"/>
      <c r="H349" s="11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3.2" x14ac:dyDescent="0.25">
      <c r="B350" s="1"/>
      <c r="C350" s="26"/>
      <c r="D350" s="26"/>
      <c r="E350" s="1"/>
      <c r="F350" s="1"/>
      <c r="G350" s="1"/>
      <c r="H350" s="11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3.2" x14ac:dyDescent="0.25">
      <c r="B351" s="1"/>
      <c r="C351" s="26"/>
      <c r="D351" s="26"/>
      <c r="E351" s="1"/>
      <c r="F351" s="1"/>
      <c r="G351" s="1"/>
      <c r="H351" s="11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3.2" x14ac:dyDescent="0.25">
      <c r="B352" s="1"/>
      <c r="C352" s="26"/>
      <c r="D352" s="26"/>
      <c r="E352" s="1"/>
      <c r="F352" s="1"/>
      <c r="G352" s="1"/>
      <c r="H352" s="11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3.2" x14ac:dyDescent="0.25">
      <c r="B353" s="1"/>
      <c r="C353" s="26"/>
      <c r="D353" s="26"/>
      <c r="E353" s="1"/>
      <c r="F353" s="1"/>
      <c r="G353" s="1"/>
      <c r="H353" s="11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3.2" x14ac:dyDescent="0.25">
      <c r="B354" s="1"/>
      <c r="C354" s="26"/>
      <c r="D354" s="26"/>
      <c r="E354" s="1"/>
      <c r="F354" s="1"/>
      <c r="G354" s="1"/>
      <c r="H354" s="11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3.2" x14ac:dyDescent="0.25">
      <c r="B355" s="1"/>
      <c r="C355" s="26"/>
      <c r="D355" s="26"/>
      <c r="E355" s="1"/>
      <c r="F355" s="1"/>
      <c r="G355" s="1"/>
      <c r="H355" s="11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3.2" x14ac:dyDescent="0.25">
      <c r="B356" s="1"/>
      <c r="C356" s="26"/>
      <c r="D356" s="26"/>
      <c r="E356" s="1"/>
      <c r="F356" s="1"/>
      <c r="G356" s="1"/>
      <c r="H356" s="11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3.2" x14ac:dyDescent="0.25">
      <c r="B357" s="1"/>
      <c r="C357" s="26"/>
      <c r="D357" s="26"/>
      <c r="E357" s="1"/>
      <c r="F357" s="1"/>
      <c r="G357" s="1"/>
      <c r="H357" s="11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3.2" x14ac:dyDescent="0.25">
      <c r="B358" s="1"/>
      <c r="C358" s="26"/>
      <c r="D358" s="26"/>
      <c r="E358" s="1"/>
      <c r="F358" s="1"/>
      <c r="G358" s="1"/>
      <c r="H358" s="11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3.2" x14ac:dyDescent="0.25">
      <c r="B359" s="1"/>
      <c r="C359" s="26"/>
      <c r="D359" s="26"/>
      <c r="E359" s="1"/>
      <c r="F359" s="1"/>
      <c r="G359" s="1"/>
      <c r="H359" s="11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3.2" x14ac:dyDescent="0.25">
      <c r="B360" s="1"/>
      <c r="C360" s="26"/>
      <c r="D360" s="26"/>
      <c r="E360" s="1"/>
      <c r="F360" s="1"/>
      <c r="G360" s="1"/>
      <c r="H360" s="11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3.2" x14ac:dyDescent="0.25">
      <c r="B361" s="1"/>
      <c r="C361" s="26"/>
      <c r="D361" s="26"/>
      <c r="E361" s="1"/>
      <c r="F361" s="1"/>
      <c r="G361" s="1"/>
      <c r="H361" s="11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3.2" x14ac:dyDescent="0.25">
      <c r="B362" s="1"/>
      <c r="C362" s="26"/>
      <c r="D362" s="26"/>
      <c r="E362" s="1"/>
      <c r="F362" s="1"/>
      <c r="G362" s="1"/>
      <c r="H362" s="11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3.2" x14ac:dyDescent="0.25">
      <c r="B363" s="1"/>
      <c r="C363" s="26"/>
      <c r="D363" s="26"/>
      <c r="E363" s="1"/>
      <c r="F363" s="1"/>
      <c r="G363" s="1"/>
      <c r="H363" s="11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3.2" x14ac:dyDescent="0.25">
      <c r="B364" s="1"/>
      <c r="C364" s="26"/>
      <c r="D364" s="26"/>
      <c r="E364" s="1"/>
      <c r="F364" s="1"/>
      <c r="G364" s="1"/>
      <c r="H364" s="11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3.2" x14ac:dyDescent="0.25">
      <c r="B365" s="1"/>
      <c r="C365" s="26"/>
      <c r="D365" s="26"/>
      <c r="E365" s="1"/>
      <c r="F365" s="1"/>
      <c r="G365" s="1"/>
      <c r="H365" s="11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3.2" x14ac:dyDescent="0.25">
      <c r="B366" s="1"/>
      <c r="C366" s="26"/>
      <c r="D366" s="26"/>
      <c r="E366" s="1"/>
      <c r="F366" s="1"/>
      <c r="G366" s="1"/>
      <c r="H366" s="11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3.2" x14ac:dyDescent="0.25">
      <c r="B367" s="1"/>
      <c r="C367" s="26"/>
      <c r="D367" s="26"/>
      <c r="E367" s="1"/>
      <c r="F367" s="1"/>
      <c r="G367" s="1"/>
      <c r="H367" s="11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3.2" x14ac:dyDescent="0.25">
      <c r="B368" s="1"/>
      <c r="C368" s="26"/>
      <c r="D368" s="26"/>
      <c r="E368" s="1"/>
      <c r="F368" s="1"/>
      <c r="G368" s="1"/>
      <c r="H368" s="11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3.2" x14ac:dyDescent="0.25">
      <c r="B369" s="1"/>
      <c r="C369" s="26"/>
      <c r="D369" s="26"/>
      <c r="E369" s="1"/>
      <c r="F369" s="1"/>
      <c r="G369" s="1"/>
      <c r="H369" s="11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3.2" x14ac:dyDescent="0.25">
      <c r="B370" s="1"/>
      <c r="C370" s="26"/>
      <c r="D370" s="26"/>
      <c r="E370" s="1"/>
      <c r="F370" s="1"/>
      <c r="G370" s="1"/>
      <c r="H370" s="11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3.2" x14ac:dyDescent="0.25">
      <c r="B371" s="1"/>
      <c r="C371" s="26"/>
      <c r="D371" s="26"/>
      <c r="E371" s="1"/>
      <c r="F371" s="1"/>
      <c r="G371" s="1"/>
      <c r="H371" s="11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3.2" x14ac:dyDescent="0.25">
      <c r="B372" s="1"/>
      <c r="C372" s="26"/>
      <c r="D372" s="26"/>
      <c r="E372" s="1"/>
      <c r="F372" s="1"/>
      <c r="G372" s="1"/>
      <c r="H372" s="11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3.2" x14ac:dyDescent="0.25">
      <c r="B373" s="1"/>
      <c r="C373" s="26"/>
      <c r="D373" s="26"/>
      <c r="E373" s="1"/>
      <c r="F373" s="1"/>
      <c r="G373" s="1"/>
      <c r="H373" s="11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3.2" x14ac:dyDescent="0.25">
      <c r="B374" s="1"/>
      <c r="C374" s="26"/>
      <c r="D374" s="26"/>
      <c r="E374" s="1"/>
      <c r="F374" s="1"/>
      <c r="G374" s="1"/>
      <c r="H374" s="11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3.2" x14ac:dyDescent="0.25">
      <c r="B375" s="1"/>
      <c r="C375" s="26"/>
      <c r="D375" s="26"/>
      <c r="E375" s="1"/>
      <c r="F375" s="1"/>
      <c r="G375" s="1"/>
      <c r="H375" s="11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3.2" x14ac:dyDescent="0.25">
      <c r="B376" s="1"/>
      <c r="C376" s="26"/>
      <c r="D376" s="26"/>
      <c r="E376" s="1"/>
      <c r="F376" s="1"/>
      <c r="G376" s="1"/>
      <c r="H376" s="11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3.2" x14ac:dyDescent="0.25">
      <c r="B377" s="1"/>
      <c r="C377" s="26"/>
      <c r="D377" s="26"/>
      <c r="E377" s="1"/>
      <c r="F377" s="1"/>
      <c r="G377" s="1"/>
      <c r="H377" s="11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3.2" x14ac:dyDescent="0.25">
      <c r="B378" s="1"/>
      <c r="C378" s="26"/>
      <c r="D378" s="26"/>
      <c r="E378" s="1"/>
      <c r="F378" s="1"/>
      <c r="G378" s="1"/>
      <c r="H378" s="11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3.2" x14ac:dyDescent="0.25">
      <c r="B379" s="1"/>
      <c r="C379" s="26"/>
      <c r="D379" s="26"/>
      <c r="E379" s="1"/>
      <c r="F379" s="1"/>
      <c r="G379" s="1"/>
      <c r="H379" s="11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3.2" x14ac:dyDescent="0.25">
      <c r="B380" s="1"/>
      <c r="C380" s="26"/>
      <c r="D380" s="26"/>
      <c r="E380" s="1"/>
      <c r="F380" s="1"/>
      <c r="G380" s="1"/>
      <c r="H380" s="11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3.2" x14ac:dyDescent="0.25">
      <c r="B381" s="1"/>
      <c r="C381" s="26"/>
      <c r="D381" s="26"/>
      <c r="E381" s="1"/>
      <c r="F381" s="1"/>
      <c r="G381" s="1"/>
      <c r="H381" s="11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3.2" x14ac:dyDescent="0.25">
      <c r="B382" s="1"/>
      <c r="C382" s="26"/>
      <c r="D382" s="26"/>
      <c r="E382" s="1"/>
      <c r="F382" s="1"/>
      <c r="G382" s="1"/>
      <c r="H382" s="11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3.2" x14ac:dyDescent="0.25">
      <c r="B383" s="1"/>
      <c r="C383" s="26"/>
      <c r="D383" s="26"/>
      <c r="E383" s="1"/>
      <c r="F383" s="1"/>
      <c r="G383" s="1"/>
      <c r="H383" s="11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3.2" x14ac:dyDescent="0.25">
      <c r="B384" s="1"/>
      <c r="C384" s="26"/>
      <c r="D384" s="26"/>
      <c r="E384" s="1"/>
      <c r="F384" s="1"/>
      <c r="G384" s="1"/>
      <c r="H384" s="11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3.2" x14ac:dyDescent="0.25">
      <c r="B385" s="1"/>
      <c r="C385" s="26"/>
      <c r="D385" s="26"/>
      <c r="E385" s="1"/>
      <c r="F385" s="1"/>
      <c r="G385" s="1"/>
      <c r="H385" s="11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3.2" x14ac:dyDescent="0.25">
      <c r="B386" s="1"/>
      <c r="C386" s="26"/>
      <c r="D386" s="26"/>
      <c r="E386" s="1"/>
      <c r="F386" s="1"/>
      <c r="G386" s="1"/>
      <c r="H386" s="11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3.2" x14ac:dyDescent="0.25">
      <c r="B387" s="1"/>
      <c r="C387" s="26"/>
      <c r="D387" s="26"/>
      <c r="E387" s="1"/>
      <c r="F387" s="1"/>
      <c r="G387" s="1"/>
      <c r="H387" s="11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3.2" x14ac:dyDescent="0.25">
      <c r="B388" s="1"/>
      <c r="C388" s="26"/>
      <c r="D388" s="26"/>
      <c r="E388" s="1"/>
      <c r="F388" s="1"/>
      <c r="G388" s="1"/>
      <c r="H388" s="11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3.2" x14ac:dyDescent="0.25">
      <c r="B389" s="1"/>
      <c r="C389" s="26"/>
      <c r="D389" s="26"/>
      <c r="E389" s="1"/>
      <c r="F389" s="1"/>
      <c r="G389" s="1"/>
      <c r="H389" s="11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3.2" x14ac:dyDescent="0.25">
      <c r="B390" s="1"/>
      <c r="C390" s="26"/>
      <c r="D390" s="26"/>
      <c r="E390" s="1"/>
      <c r="F390" s="1"/>
      <c r="G390" s="1"/>
      <c r="H390" s="11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3.2" x14ac:dyDescent="0.25">
      <c r="B391" s="1"/>
      <c r="C391" s="26"/>
      <c r="D391" s="26"/>
      <c r="E391" s="1"/>
      <c r="F391" s="1"/>
      <c r="G391" s="1"/>
      <c r="H391" s="11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3.2" x14ac:dyDescent="0.25">
      <c r="B392" s="1"/>
      <c r="C392" s="26"/>
      <c r="D392" s="26"/>
      <c r="E392" s="1"/>
      <c r="F392" s="1"/>
      <c r="G392" s="1"/>
      <c r="H392" s="11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3.2" x14ac:dyDescent="0.25">
      <c r="B393" s="1"/>
      <c r="C393" s="26"/>
      <c r="D393" s="26"/>
      <c r="E393" s="1"/>
      <c r="F393" s="1"/>
      <c r="G393" s="1"/>
      <c r="H393" s="11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3.2" x14ac:dyDescent="0.25">
      <c r="B394" s="1"/>
      <c r="C394" s="26"/>
      <c r="D394" s="26"/>
      <c r="E394" s="1"/>
      <c r="F394" s="1"/>
      <c r="G394" s="1"/>
      <c r="H394" s="11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3.2" x14ac:dyDescent="0.25">
      <c r="B395" s="1"/>
      <c r="C395" s="26"/>
      <c r="D395" s="26"/>
      <c r="E395" s="1"/>
      <c r="F395" s="1"/>
      <c r="G395" s="1"/>
      <c r="H395" s="11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3.2" x14ac:dyDescent="0.25">
      <c r="B396" s="1"/>
      <c r="C396" s="26"/>
      <c r="D396" s="26"/>
      <c r="E396" s="1"/>
      <c r="F396" s="1"/>
      <c r="G396" s="1"/>
      <c r="H396" s="11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3.2" x14ac:dyDescent="0.25">
      <c r="B397" s="1"/>
      <c r="C397" s="26"/>
      <c r="D397" s="26"/>
      <c r="E397" s="1"/>
      <c r="F397" s="1"/>
      <c r="G397" s="1"/>
      <c r="H397" s="11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3.2" x14ac:dyDescent="0.25">
      <c r="B398" s="1"/>
      <c r="C398" s="26"/>
      <c r="D398" s="26"/>
      <c r="E398" s="1"/>
      <c r="F398" s="1"/>
      <c r="G398" s="1"/>
      <c r="H398" s="11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3.2" x14ac:dyDescent="0.25">
      <c r="B399" s="1"/>
      <c r="C399" s="26"/>
      <c r="D399" s="26"/>
      <c r="E399" s="1"/>
      <c r="F399" s="1"/>
      <c r="G399" s="1"/>
      <c r="H399" s="11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3.2" x14ac:dyDescent="0.25">
      <c r="B400" s="1"/>
      <c r="C400" s="26"/>
      <c r="D400" s="26"/>
      <c r="E400" s="1"/>
      <c r="F400" s="1"/>
      <c r="G400" s="1"/>
      <c r="H400" s="11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3.2" x14ac:dyDescent="0.25">
      <c r="B401" s="1"/>
      <c r="C401" s="26"/>
      <c r="D401" s="26"/>
      <c r="E401" s="1"/>
      <c r="F401" s="1"/>
      <c r="G401" s="1"/>
      <c r="H401" s="11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3.2" x14ac:dyDescent="0.25">
      <c r="B402" s="1"/>
      <c r="C402" s="26"/>
      <c r="D402" s="26"/>
      <c r="E402" s="1"/>
      <c r="F402" s="1"/>
      <c r="G402" s="1"/>
      <c r="H402" s="11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3.2" x14ac:dyDescent="0.25">
      <c r="B403" s="1"/>
      <c r="C403" s="26"/>
      <c r="D403" s="26"/>
      <c r="E403" s="1"/>
      <c r="F403" s="1"/>
      <c r="G403" s="1"/>
      <c r="H403" s="11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3.2" x14ac:dyDescent="0.25">
      <c r="B404" s="1"/>
      <c r="C404" s="26"/>
      <c r="D404" s="26"/>
      <c r="E404" s="1"/>
      <c r="F404" s="1"/>
      <c r="G404" s="1"/>
      <c r="H404" s="11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3.2" x14ac:dyDescent="0.25">
      <c r="B405" s="1"/>
      <c r="C405" s="26"/>
      <c r="D405" s="26"/>
      <c r="E405" s="1"/>
      <c r="F405" s="1"/>
      <c r="G405" s="1"/>
      <c r="H405" s="11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3.2" x14ac:dyDescent="0.25">
      <c r="B406" s="1"/>
      <c r="C406" s="26"/>
      <c r="D406" s="26"/>
      <c r="E406" s="1"/>
      <c r="F406" s="1"/>
      <c r="G406" s="1"/>
      <c r="H406" s="11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3.2" x14ac:dyDescent="0.25">
      <c r="B407" s="1"/>
      <c r="C407" s="26"/>
      <c r="D407" s="26"/>
      <c r="E407" s="1"/>
      <c r="F407" s="1"/>
      <c r="G407" s="1"/>
      <c r="H407" s="11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3.2" x14ac:dyDescent="0.25">
      <c r="B408" s="1"/>
      <c r="C408" s="26"/>
      <c r="D408" s="26"/>
      <c r="E408" s="1"/>
      <c r="F408" s="1"/>
      <c r="G408" s="1"/>
      <c r="H408" s="11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3.2" x14ac:dyDescent="0.25">
      <c r="B409" s="1"/>
      <c r="C409" s="26"/>
      <c r="D409" s="26"/>
      <c r="E409" s="1"/>
      <c r="F409" s="1"/>
      <c r="G409" s="1"/>
      <c r="H409" s="11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3.2" x14ac:dyDescent="0.25">
      <c r="B410" s="1"/>
      <c r="C410" s="26"/>
      <c r="D410" s="26"/>
      <c r="E410" s="1"/>
      <c r="F410" s="1"/>
      <c r="G410" s="1"/>
      <c r="H410" s="11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3.2" x14ac:dyDescent="0.25">
      <c r="B411" s="1"/>
      <c r="C411" s="26"/>
      <c r="D411" s="26"/>
      <c r="E411" s="1"/>
      <c r="F411" s="1"/>
      <c r="G411" s="1"/>
      <c r="H411" s="11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3.2" x14ac:dyDescent="0.25">
      <c r="B412" s="1"/>
      <c r="C412" s="26"/>
      <c r="D412" s="26"/>
      <c r="E412" s="1"/>
      <c r="F412" s="1"/>
      <c r="G412" s="1"/>
      <c r="H412" s="11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3.2" x14ac:dyDescent="0.25">
      <c r="B413" s="1"/>
      <c r="C413" s="26"/>
      <c r="D413" s="26"/>
      <c r="E413" s="1"/>
      <c r="F413" s="1"/>
      <c r="G413" s="1"/>
      <c r="H413" s="11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3.2" x14ac:dyDescent="0.25">
      <c r="B414" s="1"/>
      <c r="C414" s="26"/>
      <c r="D414" s="26"/>
      <c r="E414" s="1"/>
      <c r="F414" s="1"/>
      <c r="G414" s="1"/>
      <c r="H414" s="11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3.2" x14ac:dyDescent="0.25">
      <c r="B415" s="1"/>
      <c r="C415" s="26"/>
      <c r="D415" s="26"/>
      <c r="E415" s="1"/>
      <c r="F415" s="1"/>
      <c r="G415" s="1"/>
      <c r="H415" s="11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3.2" x14ac:dyDescent="0.25">
      <c r="B416" s="1"/>
      <c r="C416" s="26"/>
      <c r="D416" s="26"/>
      <c r="E416" s="1"/>
      <c r="F416" s="1"/>
      <c r="G416" s="1"/>
      <c r="H416" s="11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3.2" x14ac:dyDescent="0.25">
      <c r="B417" s="1"/>
      <c r="C417" s="26"/>
      <c r="D417" s="26"/>
      <c r="E417" s="1"/>
      <c r="F417" s="1"/>
      <c r="G417" s="1"/>
      <c r="H417" s="11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3.2" x14ac:dyDescent="0.25">
      <c r="B418" s="1"/>
      <c r="C418" s="26"/>
      <c r="D418" s="26"/>
      <c r="E418" s="1"/>
      <c r="F418" s="1"/>
      <c r="G418" s="1"/>
      <c r="H418" s="11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3.2" x14ac:dyDescent="0.25">
      <c r="B419" s="1"/>
      <c r="C419" s="26"/>
      <c r="D419" s="26"/>
      <c r="E419" s="1"/>
      <c r="F419" s="1"/>
      <c r="G419" s="1"/>
      <c r="H419" s="11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3.2" x14ac:dyDescent="0.25">
      <c r="B420" s="1"/>
      <c r="C420" s="26"/>
      <c r="D420" s="26"/>
      <c r="E420" s="1"/>
      <c r="F420" s="1"/>
      <c r="G420" s="1"/>
      <c r="H420" s="11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3.2" x14ac:dyDescent="0.25">
      <c r="B421" s="1"/>
      <c r="C421" s="26"/>
      <c r="D421" s="26"/>
      <c r="E421" s="1"/>
      <c r="F421" s="1"/>
      <c r="G421" s="1"/>
      <c r="H421" s="11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3.2" x14ac:dyDescent="0.25">
      <c r="B422" s="1"/>
      <c r="C422" s="26"/>
      <c r="D422" s="26"/>
      <c r="E422" s="1"/>
      <c r="F422" s="1"/>
      <c r="G422" s="1"/>
      <c r="H422" s="11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3.2" x14ac:dyDescent="0.25">
      <c r="B423" s="1"/>
      <c r="C423" s="26"/>
      <c r="D423" s="26"/>
      <c r="E423" s="1"/>
      <c r="F423" s="1"/>
      <c r="G423" s="1"/>
      <c r="H423" s="11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3.2" x14ac:dyDescent="0.25">
      <c r="B424" s="1"/>
      <c r="C424" s="26"/>
      <c r="D424" s="26"/>
      <c r="E424" s="1"/>
      <c r="F424" s="1"/>
      <c r="G424" s="1"/>
      <c r="H424" s="11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3.2" x14ac:dyDescent="0.25">
      <c r="B425" s="1"/>
      <c r="C425" s="26"/>
      <c r="D425" s="26"/>
      <c r="E425" s="1"/>
      <c r="F425" s="1"/>
      <c r="G425" s="1"/>
      <c r="H425" s="11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3.2" x14ac:dyDescent="0.25">
      <c r="B426" s="1"/>
      <c r="C426" s="26"/>
      <c r="D426" s="26"/>
      <c r="E426" s="1"/>
      <c r="F426" s="1"/>
      <c r="G426" s="1"/>
      <c r="H426" s="11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3.2" x14ac:dyDescent="0.25">
      <c r="B427" s="1"/>
      <c r="C427" s="26"/>
      <c r="D427" s="26"/>
      <c r="E427" s="1"/>
      <c r="F427" s="1"/>
      <c r="G427" s="1"/>
      <c r="H427" s="11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3.2" x14ac:dyDescent="0.25">
      <c r="B428" s="1"/>
      <c r="C428" s="26"/>
      <c r="D428" s="26"/>
      <c r="E428" s="1"/>
      <c r="F428" s="1"/>
      <c r="G428" s="1"/>
      <c r="H428" s="11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3.2" x14ac:dyDescent="0.25">
      <c r="B429" s="1"/>
      <c r="C429" s="26"/>
      <c r="D429" s="26"/>
      <c r="E429" s="1"/>
      <c r="F429" s="1"/>
      <c r="G429" s="1"/>
      <c r="H429" s="11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3.2" x14ac:dyDescent="0.25">
      <c r="B430" s="1"/>
      <c r="C430" s="26"/>
      <c r="D430" s="26"/>
      <c r="E430" s="1"/>
      <c r="F430" s="1"/>
      <c r="G430" s="1"/>
      <c r="H430" s="11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3.2" x14ac:dyDescent="0.25">
      <c r="B431" s="1"/>
      <c r="C431" s="26"/>
      <c r="D431" s="26"/>
      <c r="E431" s="1"/>
      <c r="F431" s="1"/>
      <c r="G431" s="1"/>
      <c r="H431" s="11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3.2" x14ac:dyDescent="0.25">
      <c r="B432" s="1"/>
      <c r="C432" s="26"/>
      <c r="D432" s="26"/>
      <c r="E432" s="1"/>
      <c r="F432" s="1"/>
      <c r="G432" s="1"/>
      <c r="H432" s="11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3.2" x14ac:dyDescent="0.25">
      <c r="B433" s="1"/>
      <c r="C433" s="26"/>
      <c r="D433" s="26"/>
      <c r="E433" s="1"/>
      <c r="F433" s="1"/>
      <c r="G433" s="1"/>
      <c r="H433" s="11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3.2" x14ac:dyDescent="0.25">
      <c r="B434" s="1"/>
      <c r="C434" s="26"/>
      <c r="D434" s="26"/>
      <c r="E434" s="1"/>
      <c r="F434" s="1"/>
      <c r="G434" s="1"/>
      <c r="H434" s="11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3.2" x14ac:dyDescent="0.25">
      <c r="B435" s="1"/>
      <c r="C435" s="26"/>
      <c r="D435" s="26"/>
      <c r="E435" s="1"/>
      <c r="F435" s="1"/>
      <c r="G435" s="1"/>
      <c r="H435" s="11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3.2" x14ac:dyDescent="0.25">
      <c r="B436" s="1"/>
      <c r="C436" s="26"/>
      <c r="D436" s="26"/>
      <c r="E436" s="1"/>
      <c r="F436" s="1"/>
      <c r="G436" s="1"/>
      <c r="H436" s="11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3.2" x14ac:dyDescent="0.25">
      <c r="B437" s="1"/>
      <c r="C437" s="26"/>
      <c r="D437" s="26"/>
      <c r="E437" s="1"/>
      <c r="F437" s="1"/>
      <c r="G437" s="1"/>
      <c r="H437" s="11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3.2" x14ac:dyDescent="0.25">
      <c r="B438" s="1"/>
      <c r="C438" s="26"/>
      <c r="D438" s="26"/>
      <c r="E438" s="1"/>
      <c r="F438" s="1"/>
      <c r="G438" s="1"/>
      <c r="H438" s="11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3.2" x14ac:dyDescent="0.25">
      <c r="B439" s="1"/>
      <c r="C439" s="26"/>
      <c r="D439" s="26"/>
      <c r="E439" s="1"/>
      <c r="F439" s="1"/>
      <c r="G439" s="1"/>
      <c r="H439" s="11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3.2" x14ac:dyDescent="0.25">
      <c r="B440" s="1"/>
      <c r="C440" s="26"/>
      <c r="D440" s="26"/>
      <c r="E440" s="1"/>
      <c r="F440" s="1"/>
      <c r="G440" s="1"/>
      <c r="H440" s="11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3.2" x14ac:dyDescent="0.25">
      <c r="B441" s="1"/>
      <c r="C441" s="26"/>
      <c r="D441" s="26"/>
      <c r="E441" s="1"/>
      <c r="F441" s="1"/>
      <c r="G441" s="1"/>
      <c r="H441" s="11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3.2" x14ac:dyDescent="0.25">
      <c r="B442" s="1"/>
      <c r="C442" s="26"/>
      <c r="D442" s="26"/>
      <c r="E442" s="1"/>
      <c r="F442" s="1"/>
      <c r="G442" s="1"/>
      <c r="H442" s="11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3.2" x14ac:dyDescent="0.25">
      <c r="B443" s="1"/>
      <c r="C443" s="26"/>
      <c r="D443" s="26"/>
      <c r="E443" s="1"/>
      <c r="F443" s="1"/>
      <c r="G443" s="1"/>
      <c r="H443" s="11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3.2" x14ac:dyDescent="0.25">
      <c r="B444" s="1"/>
      <c r="C444" s="26"/>
      <c r="D444" s="26"/>
      <c r="E444" s="1"/>
      <c r="F444" s="1"/>
      <c r="G444" s="1"/>
      <c r="H444" s="11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3.2" x14ac:dyDescent="0.25">
      <c r="B445" s="1"/>
      <c r="C445" s="26"/>
      <c r="D445" s="26"/>
      <c r="E445" s="1"/>
      <c r="F445" s="1"/>
      <c r="G445" s="1"/>
      <c r="H445" s="11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3.2" x14ac:dyDescent="0.25">
      <c r="B446" s="1"/>
      <c r="C446" s="26"/>
      <c r="D446" s="26"/>
      <c r="E446" s="1"/>
      <c r="F446" s="1"/>
      <c r="G446" s="1"/>
      <c r="H446" s="11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3.2" x14ac:dyDescent="0.25">
      <c r="B447" s="1"/>
      <c r="C447" s="26"/>
      <c r="D447" s="26"/>
      <c r="E447" s="1"/>
      <c r="F447" s="1"/>
      <c r="G447" s="1"/>
      <c r="H447" s="11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3.2" x14ac:dyDescent="0.25">
      <c r="B448" s="1"/>
      <c r="C448" s="26"/>
      <c r="D448" s="26"/>
      <c r="E448" s="1"/>
      <c r="F448" s="1"/>
      <c r="G448" s="1"/>
      <c r="H448" s="11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3.2" x14ac:dyDescent="0.25">
      <c r="B449" s="1"/>
      <c r="C449" s="26"/>
      <c r="D449" s="26"/>
      <c r="E449" s="1"/>
      <c r="F449" s="1"/>
      <c r="G449" s="1"/>
      <c r="H449" s="11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3.2" x14ac:dyDescent="0.25">
      <c r="B450" s="1"/>
      <c r="C450" s="26"/>
      <c r="D450" s="26"/>
      <c r="E450" s="1"/>
      <c r="F450" s="1"/>
      <c r="G450" s="1"/>
      <c r="H450" s="11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3.2" x14ac:dyDescent="0.25">
      <c r="B451" s="1"/>
      <c r="C451" s="26"/>
      <c r="D451" s="26"/>
      <c r="E451" s="1"/>
      <c r="F451" s="1"/>
      <c r="G451" s="1"/>
      <c r="H451" s="11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3.2" x14ac:dyDescent="0.25">
      <c r="B452" s="1"/>
      <c r="C452" s="26"/>
      <c r="D452" s="26"/>
      <c r="E452" s="1"/>
      <c r="F452" s="1"/>
      <c r="G452" s="1"/>
      <c r="H452" s="11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3.2" x14ac:dyDescent="0.25">
      <c r="B453" s="1"/>
      <c r="C453" s="26"/>
      <c r="D453" s="26"/>
      <c r="E453" s="1"/>
      <c r="F453" s="1"/>
      <c r="G453" s="1"/>
      <c r="H453" s="11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3.2" x14ac:dyDescent="0.25">
      <c r="B454" s="1"/>
      <c r="C454" s="26"/>
      <c r="D454" s="26"/>
      <c r="E454" s="1"/>
      <c r="F454" s="1"/>
      <c r="G454" s="1"/>
      <c r="H454" s="11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3.2" x14ac:dyDescent="0.25">
      <c r="B455" s="1"/>
      <c r="C455" s="26"/>
      <c r="D455" s="26"/>
      <c r="E455" s="1"/>
      <c r="F455" s="1"/>
      <c r="G455" s="1"/>
      <c r="H455" s="11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3.2" x14ac:dyDescent="0.25">
      <c r="B456" s="1"/>
      <c r="C456" s="26"/>
      <c r="D456" s="26"/>
      <c r="E456" s="1"/>
      <c r="F456" s="1"/>
      <c r="G456" s="1"/>
      <c r="H456" s="11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3.2" x14ac:dyDescent="0.25">
      <c r="B457" s="1"/>
      <c r="C457" s="26"/>
      <c r="D457" s="26"/>
      <c r="E457" s="1"/>
      <c r="F457" s="1"/>
      <c r="G457" s="1"/>
      <c r="H457" s="11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3.2" x14ac:dyDescent="0.25">
      <c r="B458" s="1"/>
      <c r="C458" s="26"/>
      <c r="D458" s="26"/>
      <c r="E458" s="1"/>
      <c r="F458" s="1"/>
      <c r="G458" s="1"/>
      <c r="H458" s="11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3.2" x14ac:dyDescent="0.25">
      <c r="B459" s="1"/>
      <c r="C459" s="26"/>
      <c r="D459" s="26"/>
      <c r="E459" s="1"/>
      <c r="F459" s="1"/>
      <c r="G459" s="1"/>
      <c r="H459" s="11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3.2" x14ac:dyDescent="0.25">
      <c r="B460" s="1"/>
      <c r="C460" s="26"/>
      <c r="D460" s="26"/>
      <c r="E460" s="1"/>
      <c r="F460" s="1"/>
      <c r="G460" s="1"/>
      <c r="H460" s="11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3.2" x14ac:dyDescent="0.25">
      <c r="B461" s="1"/>
      <c r="C461" s="26"/>
      <c r="D461" s="26"/>
      <c r="E461" s="1"/>
      <c r="F461" s="1"/>
      <c r="G461" s="1"/>
      <c r="H461" s="11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3.2" x14ac:dyDescent="0.25">
      <c r="B462" s="1"/>
      <c r="C462" s="26"/>
      <c r="D462" s="26"/>
      <c r="E462" s="1"/>
      <c r="F462" s="1"/>
      <c r="G462" s="1"/>
      <c r="H462" s="11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3.2" x14ac:dyDescent="0.25">
      <c r="B463" s="1"/>
      <c r="C463" s="26"/>
      <c r="D463" s="26"/>
      <c r="E463" s="1"/>
      <c r="F463" s="1"/>
      <c r="G463" s="1"/>
      <c r="H463" s="11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3.2" x14ac:dyDescent="0.25">
      <c r="B464" s="1"/>
      <c r="C464" s="26"/>
      <c r="D464" s="26"/>
      <c r="E464" s="1"/>
      <c r="F464" s="1"/>
      <c r="G464" s="1"/>
      <c r="H464" s="11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3.2" x14ac:dyDescent="0.25">
      <c r="B465" s="1"/>
      <c r="C465" s="26"/>
      <c r="D465" s="26"/>
      <c r="E465" s="1"/>
      <c r="F465" s="1"/>
      <c r="G465" s="1"/>
      <c r="H465" s="11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3.2" x14ac:dyDescent="0.25">
      <c r="B466" s="1"/>
      <c r="C466" s="26"/>
      <c r="D466" s="26"/>
      <c r="E466" s="1"/>
      <c r="F466" s="1"/>
      <c r="G466" s="1"/>
      <c r="H466" s="11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3.2" x14ac:dyDescent="0.25">
      <c r="B467" s="1"/>
      <c r="C467" s="26"/>
      <c r="D467" s="26"/>
      <c r="E467" s="1"/>
      <c r="F467" s="1"/>
      <c r="G467" s="1"/>
      <c r="H467" s="11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3.2" x14ac:dyDescent="0.25">
      <c r="B468" s="1"/>
      <c r="C468" s="26"/>
      <c r="D468" s="26"/>
      <c r="E468" s="1"/>
      <c r="F468" s="1"/>
      <c r="G468" s="1"/>
      <c r="H468" s="11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3.2" x14ac:dyDescent="0.25">
      <c r="B469" s="1"/>
      <c r="C469" s="26"/>
      <c r="D469" s="26"/>
      <c r="E469" s="1"/>
      <c r="F469" s="1"/>
      <c r="G469" s="1"/>
      <c r="H469" s="11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3.2" x14ac:dyDescent="0.25">
      <c r="B470" s="1"/>
      <c r="C470" s="26"/>
      <c r="D470" s="26"/>
      <c r="E470" s="1"/>
      <c r="F470" s="1"/>
      <c r="G470" s="1"/>
      <c r="H470" s="11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3.2" x14ac:dyDescent="0.25">
      <c r="B471" s="1"/>
      <c r="C471" s="26"/>
      <c r="D471" s="26"/>
      <c r="E471" s="1"/>
      <c r="F471" s="1"/>
      <c r="G471" s="1"/>
      <c r="H471" s="11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3.2" x14ac:dyDescent="0.25">
      <c r="B472" s="1"/>
      <c r="C472" s="26"/>
      <c r="D472" s="26"/>
      <c r="E472" s="1"/>
      <c r="F472" s="1"/>
      <c r="G472" s="1"/>
      <c r="H472" s="11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3.2" x14ac:dyDescent="0.25">
      <c r="B473" s="1"/>
      <c r="C473" s="26"/>
      <c r="D473" s="26"/>
      <c r="E473" s="1"/>
      <c r="F473" s="1"/>
      <c r="G473" s="1"/>
      <c r="H473" s="11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3.2" x14ac:dyDescent="0.25">
      <c r="B474" s="1"/>
      <c r="C474" s="26"/>
      <c r="D474" s="26"/>
      <c r="E474" s="1"/>
      <c r="F474" s="1"/>
      <c r="G474" s="1"/>
      <c r="H474" s="11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3.2" x14ac:dyDescent="0.25">
      <c r="B475" s="1"/>
      <c r="C475" s="26"/>
      <c r="D475" s="26"/>
      <c r="E475" s="1"/>
      <c r="F475" s="1"/>
      <c r="G475" s="1"/>
      <c r="H475" s="11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3.2" x14ac:dyDescent="0.25">
      <c r="B476" s="1"/>
      <c r="C476" s="26"/>
      <c r="D476" s="26"/>
      <c r="E476" s="1"/>
      <c r="F476" s="1"/>
      <c r="G476" s="1"/>
      <c r="H476" s="11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3.2" x14ac:dyDescent="0.25">
      <c r="B477" s="1"/>
      <c r="C477" s="26"/>
      <c r="D477" s="26"/>
      <c r="E477" s="1"/>
      <c r="F477" s="1"/>
      <c r="G477" s="1"/>
      <c r="H477" s="11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3.2" x14ac:dyDescent="0.25">
      <c r="B478" s="1"/>
      <c r="C478" s="26"/>
      <c r="D478" s="26"/>
      <c r="E478" s="1"/>
      <c r="F478" s="1"/>
      <c r="G478" s="1"/>
      <c r="H478" s="11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3.2" x14ac:dyDescent="0.25">
      <c r="B479" s="1"/>
      <c r="C479" s="26"/>
      <c r="D479" s="26"/>
      <c r="E479" s="1"/>
      <c r="F479" s="1"/>
      <c r="G479" s="1"/>
      <c r="H479" s="11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3.2" x14ac:dyDescent="0.25">
      <c r="B480" s="1"/>
      <c r="C480" s="26"/>
      <c r="D480" s="26"/>
      <c r="E480" s="1"/>
      <c r="F480" s="1"/>
      <c r="G480" s="1"/>
      <c r="H480" s="11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3.2" x14ac:dyDescent="0.25">
      <c r="B481" s="1"/>
      <c r="C481" s="26"/>
      <c r="D481" s="26"/>
      <c r="E481" s="1"/>
      <c r="F481" s="1"/>
      <c r="G481" s="1"/>
      <c r="H481" s="11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3.2" x14ac:dyDescent="0.25">
      <c r="B482" s="1"/>
      <c r="C482" s="26"/>
      <c r="D482" s="26"/>
      <c r="E482" s="1"/>
      <c r="F482" s="1"/>
      <c r="G482" s="1"/>
      <c r="H482" s="11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3.2" x14ac:dyDescent="0.25">
      <c r="B483" s="1"/>
      <c r="C483" s="26"/>
      <c r="D483" s="26"/>
      <c r="E483" s="1"/>
      <c r="F483" s="1"/>
      <c r="G483" s="1"/>
      <c r="H483" s="11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3.2" x14ac:dyDescent="0.25">
      <c r="B484" s="1"/>
      <c r="C484" s="26"/>
      <c r="D484" s="26"/>
      <c r="E484" s="1"/>
      <c r="F484" s="1"/>
      <c r="G484" s="1"/>
      <c r="H484" s="11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3.2" x14ac:dyDescent="0.25">
      <c r="B485" s="1"/>
      <c r="C485" s="26"/>
      <c r="D485" s="26"/>
      <c r="E485" s="1"/>
      <c r="F485" s="1"/>
      <c r="G485" s="1"/>
      <c r="H485" s="11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3.2" x14ac:dyDescent="0.25">
      <c r="B486" s="1"/>
      <c r="C486" s="26"/>
      <c r="D486" s="26"/>
      <c r="E486" s="1"/>
      <c r="F486" s="1"/>
      <c r="G486" s="1"/>
      <c r="H486" s="11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3.2" x14ac:dyDescent="0.25">
      <c r="B487" s="1"/>
      <c r="C487" s="26"/>
      <c r="D487" s="26"/>
      <c r="E487" s="1"/>
      <c r="F487" s="1"/>
      <c r="G487" s="1"/>
      <c r="H487" s="11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3.2" x14ac:dyDescent="0.25">
      <c r="B488" s="1"/>
      <c r="C488" s="26"/>
      <c r="D488" s="26"/>
      <c r="E488" s="1"/>
      <c r="F488" s="1"/>
      <c r="G488" s="1"/>
      <c r="H488" s="11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3.2" x14ac:dyDescent="0.25">
      <c r="B489" s="1"/>
      <c r="C489" s="26"/>
      <c r="D489" s="26"/>
      <c r="E489" s="1"/>
      <c r="F489" s="1"/>
      <c r="G489" s="1"/>
      <c r="H489" s="11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3.2" x14ac:dyDescent="0.25">
      <c r="B490" s="1"/>
      <c r="C490" s="26"/>
      <c r="D490" s="26"/>
      <c r="E490" s="1"/>
      <c r="F490" s="1"/>
      <c r="G490" s="1"/>
      <c r="H490" s="11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3.2" x14ac:dyDescent="0.25">
      <c r="B491" s="1"/>
      <c r="C491" s="26"/>
      <c r="D491" s="26"/>
      <c r="E491" s="1"/>
      <c r="F491" s="1"/>
      <c r="G491" s="1"/>
      <c r="H491" s="11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3.2" x14ac:dyDescent="0.25">
      <c r="B492" s="1"/>
      <c r="C492" s="26"/>
      <c r="D492" s="26"/>
      <c r="E492" s="1"/>
      <c r="F492" s="1"/>
      <c r="G492" s="1"/>
      <c r="H492" s="11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3.2" x14ac:dyDescent="0.25">
      <c r="B493" s="1"/>
      <c r="C493" s="26"/>
      <c r="D493" s="26"/>
      <c r="E493" s="1"/>
      <c r="F493" s="1"/>
      <c r="G493" s="1"/>
      <c r="H493" s="11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3.2" x14ac:dyDescent="0.25">
      <c r="B494" s="1"/>
      <c r="C494" s="26"/>
      <c r="D494" s="26"/>
      <c r="E494" s="1"/>
      <c r="F494" s="1"/>
      <c r="G494" s="1"/>
      <c r="H494" s="11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3.2" x14ac:dyDescent="0.25">
      <c r="B495" s="1"/>
      <c r="C495" s="26"/>
      <c r="D495" s="26"/>
      <c r="E495" s="1"/>
      <c r="F495" s="1"/>
      <c r="G495" s="1"/>
      <c r="H495" s="11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3.2" x14ac:dyDescent="0.25">
      <c r="B496" s="1"/>
      <c r="C496" s="26"/>
      <c r="D496" s="26"/>
      <c r="E496" s="1"/>
      <c r="F496" s="1"/>
      <c r="G496" s="1"/>
      <c r="H496" s="11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3.2" x14ac:dyDescent="0.25">
      <c r="B497" s="1"/>
      <c r="C497" s="26"/>
      <c r="D497" s="26"/>
      <c r="E497" s="1"/>
      <c r="F497" s="1"/>
      <c r="G497" s="1"/>
      <c r="H497" s="11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3.2" x14ac:dyDescent="0.25">
      <c r="B498" s="1"/>
      <c r="C498" s="26"/>
      <c r="D498" s="26"/>
      <c r="E498" s="1"/>
      <c r="F498" s="1"/>
      <c r="G498" s="1"/>
      <c r="H498" s="11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3.2" x14ac:dyDescent="0.25">
      <c r="B499" s="1"/>
      <c r="C499" s="26"/>
      <c r="D499" s="26"/>
      <c r="E499" s="1"/>
      <c r="F499" s="1"/>
      <c r="G499" s="1"/>
      <c r="H499" s="11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3.2" x14ac:dyDescent="0.25">
      <c r="B500" s="1"/>
      <c r="C500" s="26"/>
      <c r="D500" s="26"/>
      <c r="E500" s="1"/>
      <c r="F500" s="1"/>
      <c r="G500" s="1"/>
      <c r="H500" s="11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3.2" x14ac:dyDescent="0.25">
      <c r="B501" s="1"/>
      <c r="C501" s="26"/>
      <c r="D501" s="26"/>
      <c r="E501" s="1"/>
      <c r="F501" s="1"/>
      <c r="G501" s="1"/>
      <c r="H501" s="11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3.2" x14ac:dyDescent="0.25">
      <c r="B502" s="1"/>
      <c r="C502" s="26"/>
      <c r="D502" s="26"/>
      <c r="E502" s="1"/>
      <c r="F502" s="1"/>
      <c r="G502" s="1"/>
      <c r="H502" s="11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3.2" x14ac:dyDescent="0.25">
      <c r="B503" s="1"/>
      <c r="C503" s="26"/>
      <c r="D503" s="26"/>
      <c r="E503" s="1"/>
      <c r="F503" s="1"/>
      <c r="G503" s="1"/>
      <c r="H503" s="11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3.2" x14ac:dyDescent="0.25">
      <c r="B504" s="1"/>
      <c r="C504" s="26"/>
      <c r="D504" s="26"/>
      <c r="E504" s="1"/>
      <c r="F504" s="1"/>
      <c r="G504" s="1"/>
      <c r="H504" s="11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3.2" x14ac:dyDescent="0.25">
      <c r="B505" s="1"/>
      <c r="C505" s="26"/>
      <c r="D505" s="26"/>
      <c r="E505" s="1"/>
      <c r="F505" s="1"/>
      <c r="G505" s="1"/>
      <c r="H505" s="11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3.2" x14ac:dyDescent="0.25">
      <c r="B506" s="1"/>
      <c r="C506" s="26"/>
      <c r="D506" s="26"/>
      <c r="E506" s="1"/>
      <c r="F506" s="1"/>
      <c r="G506" s="1"/>
      <c r="H506" s="11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3.2" x14ac:dyDescent="0.25">
      <c r="B507" s="1"/>
      <c r="C507" s="26"/>
      <c r="D507" s="26"/>
      <c r="E507" s="1"/>
      <c r="F507" s="1"/>
      <c r="G507" s="1"/>
      <c r="H507" s="11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3.2" x14ac:dyDescent="0.25">
      <c r="B508" s="1"/>
      <c r="C508" s="26"/>
      <c r="D508" s="26"/>
      <c r="E508" s="1"/>
      <c r="F508" s="1"/>
      <c r="G508" s="1"/>
      <c r="H508" s="11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3.2" x14ac:dyDescent="0.25">
      <c r="B509" s="1"/>
      <c r="C509" s="26"/>
      <c r="D509" s="26"/>
      <c r="E509" s="1"/>
      <c r="F509" s="1"/>
      <c r="G509" s="1"/>
      <c r="H509" s="11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3.2" x14ac:dyDescent="0.25">
      <c r="B510" s="1"/>
      <c r="C510" s="26"/>
      <c r="D510" s="26"/>
      <c r="E510" s="1"/>
      <c r="F510" s="1"/>
      <c r="G510" s="1"/>
      <c r="H510" s="11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3.2" x14ac:dyDescent="0.25">
      <c r="B511" s="1"/>
      <c r="C511" s="26"/>
      <c r="D511" s="26"/>
      <c r="E511" s="1"/>
      <c r="F511" s="1"/>
      <c r="G511" s="1"/>
      <c r="H511" s="11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3.2" x14ac:dyDescent="0.25">
      <c r="B512" s="1"/>
      <c r="C512" s="26"/>
      <c r="D512" s="26"/>
      <c r="E512" s="1"/>
      <c r="F512" s="1"/>
      <c r="G512" s="1"/>
      <c r="H512" s="11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3.2" x14ac:dyDescent="0.25">
      <c r="B513" s="1"/>
      <c r="C513" s="26"/>
      <c r="D513" s="26"/>
      <c r="E513" s="1"/>
      <c r="F513" s="1"/>
      <c r="G513" s="1"/>
      <c r="H513" s="11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3.2" x14ac:dyDescent="0.25">
      <c r="B514" s="1"/>
      <c r="C514" s="26"/>
      <c r="D514" s="26"/>
      <c r="E514" s="1"/>
      <c r="F514" s="1"/>
      <c r="G514" s="1"/>
      <c r="H514" s="11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3.2" x14ac:dyDescent="0.25">
      <c r="B515" s="1"/>
      <c r="C515" s="26"/>
      <c r="D515" s="26"/>
      <c r="E515" s="1"/>
      <c r="F515" s="1"/>
      <c r="G515" s="1"/>
      <c r="H515" s="11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3.2" x14ac:dyDescent="0.25">
      <c r="B516" s="1"/>
      <c r="C516" s="26"/>
      <c r="D516" s="26"/>
      <c r="E516" s="1"/>
      <c r="F516" s="1"/>
      <c r="G516" s="1"/>
      <c r="H516" s="11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3.2" x14ac:dyDescent="0.25">
      <c r="B517" s="1"/>
      <c r="C517" s="26"/>
      <c r="D517" s="26"/>
      <c r="E517" s="1"/>
      <c r="F517" s="1"/>
      <c r="G517" s="1"/>
      <c r="H517" s="11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3.2" x14ac:dyDescent="0.25">
      <c r="B518" s="1"/>
      <c r="C518" s="26"/>
      <c r="D518" s="26"/>
      <c r="E518" s="1"/>
      <c r="F518" s="1"/>
      <c r="G518" s="1"/>
      <c r="H518" s="11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3.2" x14ac:dyDescent="0.25">
      <c r="B519" s="1"/>
      <c r="C519" s="26"/>
      <c r="D519" s="26"/>
      <c r="E519" s="1"/>
      <c r="F519" s="1"/>
      <c r="G519" s="1"/>
      <c r="H519" s="11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3.2" x14ac:dyDescent="0.25">
      <c r="B520" s="1"/>
      <c r="C520" s="26"/>
      <c r="D520" s="26"/>
      <c r="E520" s="1"/>
      <c r="F520" s="1"/>
      <c r="G520" s="1"/>
      <c r="H520" s="11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3.2" x14ac:dyDescent="0.25">
      <c r="B521" s="1"/>
      <c r="C521" s="26"/>
      <c r="D521" s="26"/>
      <c r="E521" s="1"/>
      <c r="F521" s="1"/>
      <c r="G521" s="1"/>
      <c r="H521" s="11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3.2" x14ac:dyDescent="0.25">
      <c r="B522" s="1"/>
      <c r="C522" s="26"/>
      <c r="D522" s="26"/>
      <c r="E522" s="1"/>
      <c r="F522" s="1"/>
      <c r="G522" s="1"/>
      <c r="H522" s="11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3.2" x14ac:dyDescent="0.25">
      <c r="B523" s="1"/>
      <c r="C523" s="26"/>
      <c r="D523" s="26"/>
      <c r="E523" s="1"/>
      <c r="F523" s="1"/>
      <c r="G523" s="1"/>
      <c r="H523" s="11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3.2" x14ac:dyDescent="0.25">
      <c r="B524" s="1"/>
      <c r="C524" s="26"/>
      <c r="D524" s="26"/>
      <c r="E524" s="1"/>
      <c r="F524" s="1"/>
      <c r="G524" s="1"/>
      <c r="H524" s="11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3.2" x14ac:dyDescent="0.25">
      <c r="B525" s="1"/>
      <c r="C525" s="26"/>
      <c r="D525" s="26"/>
      <c r="E525" s="1"/>
      <c r="F525" s="1"/>
      <c r="G525" s="1"/>
      <c r="H525" s="11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3.2" x14ac:dyDescent="0.25">
      <c r="B526" s="1"/>
      <c r="C526" s="26"/>
      <c r="D526" s="26"/>
      <c r="E526" s="1"/>
      <c r="F526" s="1"/>
      <c r="G526" s="1"/>
      <c r="H526" s="11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3.2" x14ac:dyDescent="0.25">
      <c r="B527" s="1"/>
      <c r="C527" s="26"/>
      <c r="D527" s="26"/>
      <c r="E527" s="1"/>
      <c r="F527" s="1"/>
      <c r="G527" s="1"/>
      <c r="H527" s="11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3.2" x14ac:dyDescent="0.25">
      <c r="B528" s="1"/>
      <c r="C528" s="26"/>
      <c r="D528" s="26"/>
      <c r="E528" s="1"/>
      <c r="F528" s="1"/>
      <c r="G528" s="1"/>
      <c r="H528" s="11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3.2" x14ac:dyDescent="0.25">
      <c r="B529" s="1"/>
      <c r="C529" s="26"/>
      <c r="D529" s="26"/>
      <c r="E529" s="1"/>
      <c r="F529" s="1"/>
      <c r="G529" s="1"/>
      <c r="H529" s="11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3.2" x14ac:dyDescent="0.25">
      <c r="B530" s="1"/>
      <c r="C530" s="26"/>
      <c r="D530" s="26"/>
      <c r="E530" s="1"/>
      <c r="F530" s="1"/>
      <c r="G530" s="1"/>
      <c r="H530" s="11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3.2" x14ac:dyDescent="0.25">
      <c r="B531" s="1"/>
      <c r="C531" s="26"/>
      <c r="D531" s="26"/>
      <c r="E531" s="1"/>
      <c r="F531" s="1"/>
      <c r="G531" s="1"/>
      <c r="H531" s="11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3.2" x14ac:dyDescent="0.25">
      <c r="B532" s="1"/>
      <c r="C532" s="26"/>
      <c r="D532" s="26"/>
      <c r="E532" s="1"/>
      <c r="F532" s="1"/>
      <c r="G532" s="1"/>
      <c r="H532" s="11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3.2" x14ac:dyDescent="0.25">
      <c r="B533" s="1"/>
      <c r="C533" s="26"/>
      <c r="D533" s="26"/>
      <c r="E533" s="1"/>
      <c r="F533" s="1"/>
      <c r="G533" s="1"/>
      <c r="H533" s="11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3.2" x14ac:dyDescent="0.25">
      <c r="B534" s="1"/>
      <c r="C534" s="26"/>
      <c r="D534" s="26"/>
      <c r="E534" s="1"/>
      <c r="F534" s="1"/>
      <c r="G534" s="1"/>
      <c r="H534" s="11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3.2" x14ac:dyDescent="0.25">
      <c r="B535" s="1"/>
      <c r="C535" s="26"/>
      <c r="D535" s="26"/>
      <c r="E535" s="1"/>
      <c r="F535" s="1"/>
      <c r="G535" s="1"/>
      <c r="H535" s="11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3.2" x14ac:dyDescent="0.25">
      <c r="B536" s="1"/>
      <c r="C536" s="26"/>
      <c r="D536" s="26"/>
      <c r="E536" s="1"/>
      <c r="F536" s="1"/>
      <c r="G536" s="1"/>
      <c r="H536" s="11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3.2" x14ac:dyDescent="0.25">
      <c r="B537" s="1"/>
      <c r="C537" s="26"/>
      <c r="D537" s="26"/>
      <c r="E537" s="1"/>
      <c r="F537" s="1"/>
      <c r="G537" s="1"/>
      <c r="H537" s="11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3.2" x14ac:dyDescent="0.25">
      <c r="B538" s="1"/>
      <c r="C538" s="26"/>
      <c r="D538" s="26"/>
      <c r="E538" s="1"/>
      <c r="F538" s="1"/>
      <c r="G538" s="1"/>
      <c r="H538" s="11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3.2" x14ac:dyDescent="0.25">
      <c r="B539" s="1"/>
      <c r="C539" s="26"/>
      <c r="D539" s="26"/>
      <c r="E539" s="1"/>
      <c r="F539" s="1"/>
      <c r="G539" s="1"/>
      <c r="H539" s="11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3.2" x14ac:dyDescent="0.25">
      <c r="B540" s="1"/>
      <c r="C540" s="26"/>
      <c r="D540" s="26"/>
      <c r="E540" s="1"/>
      <c r="F540" s="1"/>
      <c r="G540" s="1"/>
      <c r="H540" s="11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3.2" x14ac:dyDescent="0.25">
      <c r="B541" s="1"/>
      <c r="C541" s="26"/>
      <c r="D541" s="26"/>
      <c r="E541" s="1"/>
      <c r="F541" s="1"/>
      <c r="G541" s="1"/>
      <c r="H541" s="11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3.2" x14ac:dyDescent="0.25">
      <c r="B542" s="1"/>
      <c r="C542" s="26"/>
      <c r="D542" s="26"/>
      <c r="E542" s="1"/>
      <c r="F542" s="1"/>
      <c r="G542" s="1"/>
      <c r="H542" s="11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3.2" x14ac:dyDescent="0.25">
      <c r="B543" s="1"/>
      <c r="C543" s="26"/>
      <c r="D543" s="26"/>
      <c r="E543" s="1"/>
      <c r="F543" s="1"/>
      <c r="G543" s="1"/>
      <c r="H543" s="11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3.2" x14ac:dyDescent="0.25">
      <c r="B544" s="1"/>
      <c r="C544" s="26"/>
      <c r="D544" s="26"/>
      <c r="E544" s="1"/>
      <c r="F544" s="1"/>
      <c r="G544" s="1"/>
      <c r="H544" s="11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3.2" x14ac:dyDescent="0.25">
      <c r="B545" s="1"/>
      <c r="C545" s="26"/>
      <c r="D545" s="26"/>
      <c r="E545" s="1"/>
      <c r="F545" s="1"/>
      <c r="G545" s="1"/>
      <c r="H545" s="11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3.2" x14ac:dyDescent="0.25">
      <c r="B546" s="1"/>
      <c r="C546" s="26"/>
      <c r="D546" s="26"/>
      <c r="E546" s="1"/>
      <c r="F546" s="1"/>
      <c r="G546" s="1"/>
      <c r="H546" s="11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3.2" x14ac:dyDescent="0.25">
      <c r="B547" s="1"/>
      <c r="C547" s="26"/>
      <c r="D547" s="26"/>
      <c r="E547" s="1"/>
      <c r="F547" s="1"/>
      <c r="G547" s="1"/>
      <c r="H547" s="11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3.2" x14ac:dyDescent="0.25">
      <c r="B548" s="1"/>
      <c r="C548" s="26"/>
      <c r="D548" s="26"/>
      <c r="E548" s="1"/>
      <c r="F548" s="1"/>
      <c r="G548" s="1"/>
      <c r="H548" s="11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3.2" x14ac:dyDescent="0.25">
      <c r="B549" s="1"/>
      <c r="C549" s="26"/>
      <c r="D549" s="26"/>
      <c r="E549" s="1"/>
      <c r="F549" s="1"/>
      <c r="G549" s="1"/>
      <c r="H549" s="11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3.2" x14ac:dyDescent="0.25">
      <c r="B550" s="1"/>
      <c r="C550" s="26"/>
      <c r="D550" s="26"/>
      <c r="E550" s="1"/>
      <c r="F550" s="1"/>
      <c r="G550" s="1"/>
      <c r="H550" s="11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3.2" x14ac:dyDescent="0.25">
      <c r="B551" s="1"/>
      <c r="C551" s="26"/>
      <c r="D551" s="26"/>
      <c r="E551" s="1"/>
      <c r="F551" s="1"/>
      <c r="G551" s="1"/>
      <c r="H551" s="11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3.2" x14ac:dyDescent="0.25">
      <c r="B552" s="1"/>
      <c r="C552" s="26"/>
      <c r="D552" s="26"/>
      <c r="E552" s="1"/>
      <c r="F552" s="1"/>
      <c r="G552" s="1"/>
      <c r="H552" s="11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3.2" x14ac:dyDescent="0.25">
      <c r="B553" s="1"/>
      <c r="C553" s="26"/>
      <c r="D553" s="26"/>
      <c r="E553" s="1"/>
      <c r="F553" s="1"/>
      <c r="G553" s="1"/>
      <c r="H553" s="11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3.2" x14ac:dyDescent="0.25">
      <c r="B554" s="1"/>
      <c r="C554" s="26"/>
      <c r="D554" s="26"/>
      <c r="E554" s="1"/>
      <c r="F554" s="1"/>
      <c r="G554" s="1"/>
      <c r="H554" s="11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3.2" x14ac:dyDescent="0.25">
      <c r="B555" s="1"/>
      <c r="C555" s="26"/>
      <c r="D555" s="26"/>
      <c r="E555" s="1"/>
      <c r="F555" s="1"/>
      <c r="G555" s="1"/>
      <c r="H555" s="11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3.2" x14ac:dyDescent="0.25">
      <c r="B556" s="1"/>
      <c r="C556" s="26"/>
      <c r="D556" s="26"/>
      <c r="E556" s="1"/>
      <c r="F556" s="1"/>
      <c r="G556" s="1"/>
      <c r="H556" s="11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3.2" x14ac:dyDescent="0.25">
      <c r="B557" s="1"/>
      <c r="C557" s="26"/>
      <c r="D557" s="26"/>
      <c r="E557" s="1"/>
      <c r="F557" s="1"/>
      <c r="G557" s="1"/>
      <c r="H557" s="11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3.2" x14ac:dyDescent="0.25">
      <c r="B558" s="1"/>
      <c r="C558" s="26"/>
      <c r="D558" s="26"/>
      <c r="E558" s="1"/>
      <c r="F558" s="1"/>
      <c r="G558" s="1"/>
      <c r="H558" s="11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3.2" x14ac:dyDescent="0.25">
      <c r="B559" s="1"/>
      <c r="C559" s="26"/>
      <c r="D559" s="26"/>
      <c r="E559" s="1"/>
      <c r="F559" s="1"/>
      <c r="G559" s="1"/>
      <c r="H559" s="11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3.2" x14ac:dyDescent="0.25">
      <c r="B560" s="1"/>
      <c r="C560" s="26"/>
      <c r="D560" s="26"/>
      <c r="E560" s="1"/>
      <c r="F560" s="1"/>
      <c r="G560" s="1"/>
      <c r="H560" s="11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3.2" x14ac:dyDescent="0.25">
      <c r="B561" s="1"/>
      <c r="C561" s="26"/>
      <c r="D561" s="26"/>
      <c r="E561" s="1"/>
      <c r="F561" s="1"/>
      <c r="G561" s="1"/>
      <c r="H561" s="11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3.2" x14ac:dyDescent="0.25">
      <c r="B562" s="1"/>
      <c r="C562" s="26"/>
      <c r="D562" s="26"/>
      <c r="E562" s="1"/>
      <c r="F562" s="1"/>
      <c r="G562" s="1"/>
      <c r="H562" s="11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3.2" x14ac:dyDescent="0.25">
      <c r="B563" s="1"/>
      <c r="C563" s="26"/>
      <c r="D563" s="26"/>
      <c r="E563" s="1"/>
      <c r="F563" s="1"/>
      <c r="G563" s="1"/>
      <c r="H563" s="11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3.2" x14ac:dyDescent="0.25">
      <c r="B564" s="1"/>
      <c r="C564" s="26"/>
      <c r="D564" s="26"/>
      <c r="E564" s="1"/>
      <c r="F564" s="1"/>
      <c r="G564" s="1"/>
      <c r="H564" s="11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3.2" x14ac:dyDescent="0.25">
      <c r="B565" s="1"/>
      <c r="C565" s="26"/>
      <c r="D565" s="26"/>
      <c r="E565" s="1"/>
      <c r="F565" s="1"/>
      <c r="G565" s="1"/>
      <c r="H565" s="11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3.2" x14ac:dyDescent="0.25">
      <c r="B566" s="1"/>
      <c r="C566" s="26"/>
      <c r="D566" s="26"/>
      <c r="E566" s="1"/>
      <c r="F566" s="1"/>
      <c r="G566" s="1"/>
      <c r="H566" s="11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3.2" x14ac:dyDescent="0.25">
      <c r="B567" s="1"/>
      <c r="C567" s="26"/>
      <c r="D567" s="26"/>
      <c r="E567" s="1"/>
      <c r="F567" s="1"/>
      <c r="G567" s="1"/>
      <c r="H567" s="11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3.2" x14ac:dyDescent="0.25">
      <c r="B568" s="1"/>
      <c r="C568" s="26"/>
      <c r="D568" s="26"/>
      <c r="E568" s="1"/>
      <c r="F568" s="1"/>
      <c r="G568" s="1"/>
      <c r="H568" s="11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3.2" x14ac:dyDescent="0.25">
      <c r="B569" s="1"/>
      <c r="C569" s="26"/>
      <c r="D569" s="26"/>
      <c r="E569" s="1"/>
      <c r="F569" s="1"/>
      <c r="G569" s="1"/>
      <c r="H569" s="11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3.2" x14ac:dyDescent="0.25">
      <c r="B570" s="1"/>
      <c r="C570" s="26"/>
      <c r="D570" s="26"/>
      <c r="E570" s="1"/>
      <c r="F570" s="1"/>
      <c r="G570" s="1"/>
      <c r="H570" s="11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3.2" x14ac:dyDescent="0.25">
      <c r="B571" s="1"/>
      <c r="C571" s="26"/>
      <c r="D571" s="26"/>
      <c r="E571" s="1"/>
      <c r="F571" s="1"/>
      <c r="G571" s="1"/>
      <c r="H571" s="11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3.2" x14ac:dyDescent="0.25">
      <c r="B572" s="1"/>
      <c r="C572" s="26"/>
      <c r="D572" s="26"/>
      <c r="E572" s="1"/>
      <c r="F572" s="1"/>
      <c r="G572" s="1"/>
      <c r="H572" s="11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3.2" x14ac:dyDescent="0.25">
      <c r="B573" s="1"/>
      <c r="C573" s="26"/>
      <c r="D573" s="26"/>
      <c r="E573" s="1"/>
      <c r="F573" s="1"/>
      <c r="G573" s="1"/>
      <c r="H573" s="11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3.2" x14ac:dyDescent="0.25">
      <c r="B574" s="1"/>
      <c r="C574" s="26"/>
      <c r="D574" s="26"/>
      <c r="E574" s="1"/>
      <c r="F574" s="1"/>
      <c r="G574" s="1"/>
      <c r="H574" s="11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3.2" x14ac:dyDescent="0.25">
      <c r="B575" s="1"/>
      <c r="C575" s="26"/>
      <c r="D575" s="26"/>
      <c r="E575" s="1"/>
      <c r="F575" s="1"/>
      <c r="G575" s="1"/>
      <c r="H575" s="11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3.2" x14ac:dyDescent="0.25">
      <c r="B576" s="1"/>
      <c r="C576" s="26"/>
      <c r="D576" s="26"/>
      <c r="E576" s="1"/>
      <c r="F576" s="1"/>
      <c r="G576" s="1"/>
      <c r="H576" s="11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3.2" x14ac:dyDescent="0.25">
      <c r="B577" s="1"/>
      <c r="C577" s="26"/>
      <c r="D577" s="26"/>
      <c r="E577" s="1"/>
      <c r="F577" s="1"/>
      <c r="G577" s="1"/>
      <c r="H577" s="11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3.2" x14ac:dyDescent="0.25">
      <c r="B578" s="1"/>
      <c r="C578" s="26"/>
      <c r="D578" s="26"/>
      <c r="E578" s="1"/>
      <c r="F578" s="1"/>
      <c r="G578" s="1"/>
      <c r="H578" s="11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3.2" x14ac:dyDescent="0.25">
      <c r="B579" s="1"/>
      <c r="C579" s="26"/>
      <c r="D579" s="26"/>
      <c r="E579" s="1"/>
      <c r="F579" s="1"/>
      <c r="G579" s="1"/>
      <c r="H579" s="11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3.2" x14ac:dyDescent="0.25">
      <c r="B580" s="1"/>
      <c r="C580" s="26"/>
      <c r="D580" s="26"/>
      <c r="E580" s="1"/>
      <c r="F580" s="1"/>
      <c r="G580" s="1"/>
      <c r="H580" s="11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3.2" x14ac:dyDescent="0.25">
      <c r="B581" s="1"/>
      <c r="C581" s="26"/>
      <c r="D581" s="26"/>
      <c r="E581" s="1"/>
      <c r="F581" s="1"/>
      <c r="G581" s="1"/>
      <c r="H581" s="11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3.2" x14ac:dyDescent="0.25">
      <c r="B582" s="1"/>
      <c r="C582" s="26"/>
      <c r="D582" s="26"/>
      <c r="E582" s="1"/>
      <c r="F582" s="1"/>
      <c r="G582" s="1"/>
      <c r="H582" s="11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3.2" x14ac:dyDescent="0.25">
      <c r="B583" s="1"/>
      <c r="C583" s="26"/>
      <c r="D583" s="26"/>
      <c r="E583" s="1"/>
      <c r="F583" s="1"/>
      <c r="G583" s="1"/>
      <c r="H583" s="11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3.2" x14ac:dyDescent="0.25">
      <c r="B584" s="1"/>
      <c r="C584" s="26"/>
      <c r="D584" s="26"/>
      <c r="E584" s="1"/>
      <c r="F584" s="1"/>
      <c r="G584" s="1"/>
      <c r="H584" s="11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3.2" x14ac:dyDescent="0.25">
      <c r="B585" s="1"/>
      <c r="C585" s="26"/>
      <c r="D585" s="26"/>
      <c r="E585" s="1"/>
      <c r="F585" s="1"/>
      <c r="G585" s="1"/>
      <c r="H585" s="11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3.2" x14ac:dyDescent="0.25">
      <c r="B586" s="1"/>
      <c r="C586" s="26"/>
      <c r="D586" s="26"/>
      <c r="E586" s="1"/>
      <c r="F586" s="1"/>
      <c r="G586" s="1"/>
      <c r="H586" s="11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3.2" x14ac:dyDescent="0.25">
      <c r="B587" s="1"/>
      <c r="C587" s="26"/>
      <c r="D587" s="26"/>
      <c r="E587" s="1"/>
      <c r="F587" s="1"/>
      <c r="G587" s="1"/>
      <c r="H587" s="11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3.2" x14ac:dyDescent="0.25">
      <c r="B588" s="1"/>
      <c r="C588" s="26"/>
      <c r="D588" s="26"/>
      <c r="E588" s="1"/>
      <c r="F588" s="1"/>
      <c r="G588" s="1"/>
      <c r="H588" s="11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3.2" x14ac:dyDescent="0.25">
      <c r="B589" s="1"/>
      <c r="C589" s="26"/>
      <c r="D589" s="26"/>
      <c r="E589" s="1"/>
      <c r="F589" s="1"/>
      <c r="G589" s="1"/>
      <c r="H589" s="11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3.2" x14ac:dyDescent="0.25">
      <c r="B590" s="1"/>
      <c r="C590" s="26"/>
      <c r="D590" s="26"/>
      <c r="E590" s="1"/>
      <c r="F590" s="1"/>
      <c r="G590" s="1"/>
      <c r="H590" s="11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3.2" x14ac:dyDescent="0.25">
      <c r="B591" s="1"/>
      <c r="C591" s="26"/>
      <c r="D591" s="26"/>
      <c r="E591" s="1"/>
      <c r="F591" s="1"/>
      <c r="G591" s="1"/>
      <c r="H591" s="11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3.2" x14ac:dyDescent="0.25">
      <c r="B592" s="1"/>
      <c r="C592" s="26"/>
      <c r="D592" s="26"/>
      <c r="E592" s="1"/>
      <c r="F592" s="1"/>
      <c r="G592" s="1"/>
      <c r="H592" s="11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3.2" x14ac:dyDescent="0.25">
      <c r="B593" s="1"/>
      <c r="C593" s="26"/>
      <c r="D593" s="26"/>
      <c r="E593" s="1"/>
      <c r="F593" s="1"/>
      <c r="G593" s="1"/>
      <c r="H593" s="11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3.2" x14ac:dyDescent="0.25">
      <c r="B594" s="1"/>
      <c r="C594" s="26"/>
      <c r="D594" s="26"/>
      <c r="E594" s="1"/>
      <c r="F594" s="1"/>
      <c r="G594" s="1"/>
      <c r="H594" s="11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3.2" x14ac:dyDescent="0.25">
      <c r="B595" s="1"/>
      <c r="C595" s="26"/>
      <c r="D595" s="26"/>
      <c r="E595" s="1"/>
      <c r="F595" s="1"/>
      <c r="G595" s="1"/>
      <c r="H595" s="11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3.2" x14ac:dyDescent="0.25">
      <c r="B596" s="1"/>
      <c r="C596" s="26"/>
      <c r="D596" s="26"/>
      <c r="E596" s="1"/>
      <c r="F596" s="1"/>
      <c r="G596" s="1"/>
      <c r="H596" s="11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3.2" x14ac:dyDescent="0.25">
      <c r="B597" s="1"/>
      <c r="C597" s="26"/>
      <c r="D597" s="26"/>
      <c r="E597" s="1"/>
      <c r="F597" s="1"/>
      <c r="G597" s="1"/>
      <c r="H597" s="11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3.2" x14ac:dyDescent="0.25">
      <c r="B598" s="1"/>
      <c r="C598" s="26"/>
      <c r="D598" s="26"/>
      <c r="E598" s="1"/>
      <c r="F598" s="1"/>
      <c r="G598" s="1"/>
      <c r="H598" s="11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3.2" x14ac:dyDescent="0.25">
      <c r="B599" s="1"/>
      <c r="C599" s="26"/>
      <c r="D599" s="26"/>
      <c r="E599" s="1"/>
      <c r="F599" s="1"/>
      <c r="G599" s="1"/>
      <c r="H599" s="11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3.2" x14ac:dyDescent="0.25">
      <c r="B600" s="1"/>
      <c r="C600" s="26"/>
      <c r="D600" s="26"/>
      <c r="E600" s="1"/>
      <c r="F600" s="1"/>
      <c r="G600" s="1"/>
      <c r="H600" s="11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3.2" x14ac:dyDescent="0.25">
      <c r="B601" s="1"/>
      <c r="C601" s="26"/>
      <c r="D601" s="26"/>
      <c r="E601" s="1"/>
      <c r="F601" s="1"/>
      <c r="G601" s="1"/>
      <c r="H601" s="11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3.2" x14ac:dyDescent="0.25">
      <c r="B602" s="1"/>
      <c r="C602" s="26"/>
      <c r="D602" s="26"/>
      <c r="E602" s="1"/>
      <c r="F602" s="1"/>
      <c r="G602" s="1"/>
      <c r="H602" s="11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3.2" x14ac:dyDescent="0.25">
      <c r="B603" s="1"/>
      <c r="C603" s="26"/>
      <c r="D603" s="26"/>
      <c r="E603" s="1"/>
      <c r="F603" s="1"/>
      <c r="G603" s="1"/>
      <c r="H603" s="11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3.2" x14ac:dyDescent="0.25">
      <c r="B604" s="1"/>
      <c r="C604" s="26"/>
      <c r="D604" s="26"/>
      <c r="E604" s="1"/>
      <c r="F604" s="1"/>
      <c r="G604" s="1"/>
      <c r="H604" s="11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3.2" x14ac:dyDescent="0.25">
      <c r="B605" s="1"/>
      <c r="C605" s="26"/>
      <c r="D605" s="26"/>
      <c r="E605" s="1"/>
      <c r="F605" s="1"/>
      <c r="G605" s="1"/>
      <c r="H605" s="11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3.2" x14ac:dyDescent="0.25">
      <c r="B606" s="1"/>
      <c r="C606" s="26"/>
      <c r="D606" s="26"/>
      <c r="E606" s="1"/>
      <c r="F606" s="1"/>
      <c r="G606" s="1"/>
      <c r="H606" s="11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3.2" x14ac:dyDescent="0.25">
      <c r="B607" s="1"/>
      <c r="C607" s="26"/>
      <c r="D607" s="26"/>
      <c r="E607" s="1"/>
      <c r="F607" s="1"/>
      <c r="G607" s="1"/>
      <c r="H607" s="11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3.2" x14ac:dyDescent="0.25">
      <c r="B608" s="1"/>
      <c r="C608" s="26"/>
      <c r="D608" s="26"/>
      <c r="E608" s="1"/>
      <c r="F608" s="1"/>
      <c r="G608" s="1"/>
      <c r="H608" s="11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3.2" x14ac:dyDescent="0.25">
      <c r="B609" s="1"/>
      <c r="C609" s="26"/>
      <c r="D609" s="26"/>
      <c r="E609" s="1"/>
      <c r="F609" s="1"/>
      <c r="G609" s="1"/>
      <c r="H609" s="11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3.2" x14ac:dyDescent="0.25">
      <c r="B610" s="1"/>
      <c r="C610" s="26"/>
      <c r="D610" s="26"/>
      <c r="E610" s="1"/>
      <c r="F610" s="1"/>
      <c r="G610" s="1"/>
      <c r="H610" s="11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3.2" x14ac:dyDescent="0.25">
      <c r="B611" s="1"/>
      <c r="C611" s="26"/>
      <c r="D611" s="26"/>
      <c r="E611" s="1"/>
      <c r="F611" s="1"/>
      <c r="G611" s="1"/>
      <c r="H611" s="11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3.2" x14ac:dyDescent="0.25">
      <c r="B612" s="1"/>
      <c r="C612" s="26"/>
      <c r="D612" s="26"/>
      <c r="E612" s="1"/>
      <c r="F612" s="1"/>
      <c r="G612" s="1"/>
      <c r="H612" s="11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3.2" x14ac:dyDescent="0.25">
      <c r="B613" s="1"/>
      <c r="C613" s="26"/>
      <c r="D613" s="26"/>
      <c r="E613" s="1"/>
      <c r="F613" s="1"/>
      <c r="G613" s="1"/>
      <c r="H613" s="11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3.2" x14ac:dyDescent="0.25">
      <c r="B614" s="1"/>
      <c r="C614" s="26"/>
      <c r="D614" s="26"/>
      <c r="E614" s="1"/>
      <c r="F614" s="1"/>
      <c r="G614" s="1"/>
      <c r="H614" s="11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3.2" x14ac:dyDescent="0.25">
      <c r="B615" s="1"/>
      <c r="C615" s="26"/>
      <c r="D615" s="26"/>
      <c r="E615" s="1"/>
      <c r="F615" s="1"/>
      <c r="G615" s="1"/>
      <c r="H615" s="11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3.2" x14ac:dyDescent="0.25">
      <c r="B616" s="1"/>
      <c r="C616" s="26"/>
      <c r="D616" s="26"/>
      <c r="E616" s="1"/>
      <c r="F616" s="1"/>
      <c r="G616" s="1"/>
      <c r="H616" s="11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3.2" x14ac:dyDescent="0.25">
      <c r="B617" s="1"/>
      <c r="C617" s="26"/>
      <c r="D617" s="26"/>
      <c r="E617" s="1"/>
      <c r="F617" s="1"/>
      <c r="G617" s="1"/>
      <c r="H617" s="11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3.2" x14ac:dyDescent="0.25">
      <c r="B618" s="1"/>
      <c r="C618" s="26"/>
      <c r="D618" s="26"/>
      <c r="E618" s="1"/>
      <c r="F618" s="1"/>
      <c r="G618" s="1"/>
      <c r="H618" s="11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3.2" x14ac:dyDescent="0.25">
      <c r="B619" s="1"/>
      <c r="C619" s="26"/>
      <c r="D619" s="26"/>
      <c r="E619" s="1"/>
      <c r="F619" s="1"/>
      <c r="G619" s="1"/>
      <c r="H619" s="11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3.2" x14ac:dyDescent="0.25">
      <c r="B620" s="1"/>
      <c r="C620" s="26"/>
      <c r="D620" s="26"/>
      <c r="E620" s="1"/>
      <c r="F620" s="1"/>
      <c r="G620" s="1"/>
      <c r="H620" s="11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3.2" x14ac:dyDescent="0.25">
      <c r="B621" s="1"/>
      <c r="C621" s="26"/>
      <c r="D621" s="26"/>
      <c r="E621" s="1"/>
      <c r="F621" s="1"/>
      <c r="G621" s="1"/>
      <c r="H621" s="11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3.2" x14ac:dyDescent="0.25">
      <c r="B622" s="1"/>
      <c r="C622" s="26"/>
      <c r="D622" s="26"/>
      <c r="E622" s="1"/>
      <c r="F622" s="1"/>
      <c r="G622" s="1"/>
      <c r="H622" s="11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3.2" x14ac:dyDescent="0.25">
      <c r="B623" s="1"/>
      <c r="C623" s="26"/>
      <c r="D623" s="26"/>
      <c r="E623" s="1"/>
      <c r="F623" s="1"/>
      <c r="G623" s="1"/>
      <c r="H623" s="11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3.2" x14ac:dyDescent="0.25">
      <c r="B624" s="1"/>
      <c r="C624" s="26"/>
      <c r="D624" s="26"/>
      <c r="E624" s="1"/>
      <c r="F624" s="1"/>
      <c r="G624" s="1"/>
      <c r="H624" s="11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3.2" x14ac:dyDescent="0.25">
      <c r="B625" s="1"/>
      <c r="C625" s="26"/>
      <c r="D625" s="26"/>
      <c r="E625" s="1"/>
      <c r="F625" s="1"/>
      <c r="G625" s="1"/>
      <c r="H625" s="11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3.2" x14ac:dyDescent="0.25">
      <c r="B626" s="1"/>
      <c r="C626" s="26"/>
      <c r="D626" s="26"/>
      <c r="E626" s="1"/>
      <c r="F626" s="1"/>
      <c r="G626" s="1"/>
      <c r="H626" s="11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3.2" x14ac:dyDescent="0.25">
      <c r="B627" s="1"/>
      <c r="C627" s="26"/>
      <c r="D627" s="26"/>
      <c r="E627" s="1"/>
      <c r="F627" s="1"/>
      <c r="G627" s="1"/>
      <c r="H627" s="11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3.2" x14ac:dyDescent="0.25">
      <c r="B628" s="1"/>
      <c r="C628" s="26"/>
      <c r="D628" s="26"/>
      <c r="E628" s="1"/>
      <c r="F628" s="1"/>
      <c r="G628" s="1"/>
      <c r="H628" s="11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3.2" x14ac:dyDescent="0.25">
      <c r="B629" s="1"/>
      <c r="C629" s="26"/>
      <c r="D629" s="26"/>
      <c r="E629" s="1"/>
      <c r="F629" s="1"/>
      <c r="G629" s="1"/>
      <c r="H629" s="11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3.2" x14ac:dyDescent="0.25">
      <c r="B630" s="1"/>
      <c r="C630" s="26"/>
      <c r="D630" s="26"/>
      <c r="E630" s="1"/>
      <c r="F630" s="1"/>
      <c r="G630" s="1"/>
      <c r="H630" s="11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3.2" x14ac:dyDescent="0.25">
      <c r="B631" s="1"/>
      <c r="C631" s="26"/>
      <c r="D631" s="26"/>
      <c r="E631" s="1"/>
      <c r="F631" s="1"/>
      <c r="G631" s="1"/>
      <c r="H631" s="11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3.2" x14ac:dyDescent="0.25">
      <c r="B632" s="1"/>
      <c r="C632" s="26"/>
      <c r="D632" s="26"/>
      <c r="E632" s="1"/>
      <c r="F632" s="1"/>
      <c r="G632" s="1"/>
      <c r="H632" s="11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3.2" x14ac:dyDescent="0.25">
      <c r="B633" s="1"/>
      <c r="C633" s="26"/>
      <c r="D633" s="26"/>
      <c r="E633" s="1"/>
      <c r="F633" s="1"/>
      <c r="G633" s="1"/>
      <c r="H633" s="11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3.2" x14ac:dyDescent="0.25">
      <c r="B634" s="1"/>
      <c r="C634" s="26"/>
      <c r="D634" s="26"/>
      <c r="E634" s="1"/>
      <c r="F634" s="1"/>
      <c r="G634" s="1"/>
      <c r="H634" s="11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3.2" x14ac:dyDescent="0.25">
      <c r="B635" s="1"/>
      <c r="C635" s="26"/>
      <c r="D635" s="26"/>
      <c r="E635" s="1"/>
      <c r="F635" s="1"/>
      <c r="G635" s="1"/>
      <c r="H635" s="11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3.2" x14ac:dyDescent="0.25">
      <c r="B636" s="1"/>
      <c r="C636" s="26"/>
      <c r="D636" s="26"/>
      <c r="E636" s="1"/>
      <c r="F636" s="1"/>
      <c r="G636" s="1"/>
      <c r="H636" s="11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3.2" x14ac:dyDescent="0.25">
      <c r="B637" s="1"/>
      <c r="C637" s="26"/>
      <c r="D637" s="26"/>
      <c r="E637" s="1"/>
      <c r="F637" s="1"/>
      <c r="G637" s="1"/>
      <c r="H637" s="11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3.2" x14ac:dyDescent="0.25">
      <c r="B638" s="1"/>
      <c r="C638" s="26"/>
      <c r="D638" s="26"/>
      <c r="E638" s="1"/>
      <c r="F638" s="1"/>
      <c r="G638" s="1"/>
      <c r="H638" s="11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3.2" x14ac:dyDescent="0.25">
      <c r="B639" s="1"/>
      <c r="C639" s="26"/>
      <c r="D639" s="26"/>
      <c r="E639" s="1"/>
      <c r="F639" s="1"/>
      <c r="G639" s="1"/>
      <c r="H639" s="11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3.2" x14ac:dyDescent="0.25">
      <c r="B640" s="1"/>
      <c r="C640" s="26"/>
      <c r="D640" s="26"/>
      <c r="E640" s="1"/>
      <c r="F640" s="1"/>
      <c r="G640" s="1"/>
      <c r="H640" s="11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3.2" x14ac:dyDescent="0.25">
      <c r="B641" s="1"/>
      <c r="C641" s="26"/>
      <c r="D641" s="26"/>
      <c r="E641" s="1"/>
      <c r="F641" s="1"/>
      <c r="G641" s="1"/>
      <c r="H641" s="11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3.2" x14ac:dyDescent="0.25">
      <c r="B642" s="1"/>
      <c r="C642" s="26"/>
      <c r="D642" s="26"/>
      <c r="E642" s="1"/>
      <c r="F642" s="1"/>
      <c r="G642" s="1"/>
      <c r="H642" s="11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3.2" x14ac:dyDescent="0.25">
      <c r="B643" s="1"/>
      <c r="C643" s="26"/>
      <c r="D643" s="26"/>
      <c r="E643" s="1"/>
      <c r="F643" s="1"/>
      <c r="G643" s="1"/>
      <c r="H643" s="11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3.2" x14ac:dyDescent="0.25">
      <c r="B644" s="1"/>
      <c r="C644" s="26"/>
      <c r="D644" s="26"/>
      <c r="E644" s="1"/>
      <c r="F644" s="1"/>
      <c r="G644" s="1"/>
      <c r="H644" s="11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3.2" x14ac:dyDescent="0.25">
      <c r="B645" s="1"/>
      <c r="C645" s="26"/>
      <c r="D645" s="26"/>
      <c r="E645" s="1"/>
      <c r="F645" s="1"/>
      <c r="G645" s="1"/>
      <c r="H645" s="11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3.2" x14ac:dyDescent="0.25">
      <c r="B646" s="1"/>
      <c r="C646" s="26"/>
      <c r="D646" s="26"/>
      <c r="E646" s="1"/>
      <c r="F646" s="1"/>
      <c r="G646" s="1"/>
      <c r="H646" s="11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3.2" x14ac:dyDescent="0.25">
      <c r="B647" s="1"/>
      <c r="C647" s="26"/>
      <c r="D647" s="26"/>
      <c r="E647" s="1"/>
      <c r="F647" s="1"/>
      <c r="G647" s="1"/>
      <c r="H647" s="11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3.2" x14ac:dyDescent="0.25">
      <c r="B648" s="1"/>
      <c r="C648" s="26"/>
      <c r="D648" s="26"/>
      <c r="E648" s="1"/>
      <c r="F648" s="1"/>
      <c r="G648" s="1"/>
      <c r="H648" s="11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3.2" x14ac:dyDescent="0.25">
      <c r="B649" s="1"/>
      <c r="C649" s="26"/>
      <c r="D649" s="26"/>
      <c r="E649" s="1"/>
      <c r="F649" s="1"/>
      <c r="G649" s="1"/>
      <c r="H649" s="11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3.2" x14ac:dyDescent="0.25">
      <c r="B650" s="1"/>
      <c r="C650" s="26"/>
      <c r="D650" s="26"/>
      <c r="E650" s="1"/>
      <c r="F650" s="1"/>
      <c r="G650" s="1"/>
      <c r="H650" s="11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3.2" x14ac:dyDescent="0.25">
      <c r="B651" s="1"/>
      <c r="C651" s="26"/>
      <c r="D651" s="26"/>
      <c r="E651" s="1"/>
      <c r="F651" s="1"/>
      <c r="G651" s="1"/>
      <c r="H651" s="11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3.2" x14ac:dyDescent="0.25">
      <c r="B652" s="1"/>
      <c r="C652" s="26"/>
      <c r="D652" s="26"/>
      <c r="E652" s="1"/>
      <c r="F652" s="1"/>
      <c r="G652" s="1"/>
      <c r="H652" s="11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3.2" x14ac:dyDescent="0.25">
      <c r="B653" s="1"/>
      <c r="C653" s="26"/>
      <c r="D653" s="26"/>
      <c r="E653" s="1"/>
      <c r="F653" s="1"/>
      <c r="G653" s="1"/>
      <c r="H653" s="11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3.2" x14ac:dyDescent="0.25">
      <c r="B654" s="1"/>
      <c r="C654" s="26"/>
      <c r="D654" s="26"/>
      <c r="E654" s="1"/>
      <c r="F654" s="1"/>
      <c r="G654" s="1"/>
      <c r="H654" s="11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3.2" x14ac:dyDescent="0.25">
      <c r="B655" s="1"/>
      <c r="C655" s="26"/>
      <c r="D655" s="26"/>
      <c r="E655" s="1"/>
      <c r="F655" s="1"/>
      <c r="G655" s="1"/>
      <c r="H655" s="11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3.2" x14ac:dyDescent="0.25">
      <c r="B656" s="1"/>
      <c r="C656" s="26"/>
      <c r="D656" s="26"/>
      <c r="E656" s="1"/>
      <c r="F656" s="1"/>
      <c r="G656" s="1"/>
      <c r="H656" s="11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3.2" x14ac:dyDescent="0.25">
      <c r="B657" s="1"/>
      <c r="C657" s="26"/>
      <c r="D657" s="26"/>
      <c r="E657" s="1"/>
      <c r="F657" s="1"/>
      <c r="G657" s="1"/>
      <c r="H657" s="11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3.2" x14ac:dyDescent="0.25">
      <c r="B658" s="1"/>
      <c r="C658" s="26"/>
      <c r="D658" s="26"/>
      <c r="E658" s="1"/>
      <c r="F658" s="1"/>
      <c r="G658" s="1"/>
      <c r="H658" s="11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3.2" x14ac:dyDescent="0.25">
      <c r="B659" s="1"/>
      <c r="C659" s="26"/>
      <c r="D659" s="26"/>
      <c r="E659" s="1"/>
      <c r="F659" s="1"/>
      <c r="G659" s="1"/>
      <c r="H659" s="11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3.2" x14ac:dyDescent="0.25">
      <c r="B660" s="1"/>
      <c r="C660" s="26"/>
      <c r="D660" s="26"/>
      <c r="E660" s="1"/>
      <c r="F660" s="1"/>
      <c r="G660" s="1"/>
      <c r="H660" s="11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3.2" x14ac:dyDescent="0.25">
      <c r="B661" s="1"/>
      <c r="C661" s="26"/>
      <c r="D661" s="26"/>
      <c r="E661" s="1"/>
      <c r="F661" s="1"/>
      <c r="G661" s="1"/>
      <c r="H661" s="11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3.2" x14ac:dyDescent="0.25">
      <c r="B662" s="1"/>
      <c r="C662" s="26"/>
      <c r="D662" s="26"/>
      <c r="E662" s="1"/>
      <c r="F662" s="1"/>
      <c r="G662" s="1"/>
      <c r="H662" s="11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3.2" x14ac:dyDescent="0.25">
      <c r="B663" s="1"/>
      <c r="C663" s="26"/>
      <c r="D663" s="26"/>
      <c r="E663" s="1"/>
      <c r="F663" s="1"/>
      <c r="G663" s="1"/>
      <c r="H663" s="11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3.2" x14ac:dyDescent="0.25">
      <c r="B664" s="1"/>
      <c r="C664" s="26"/>
      <c r="D664" s="26"/>
      <c r="E664" s="1"/>
      <c r="F664" s="1"/>
      <c r="G664" s="1"/>
      <c r="H664" s="11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3.2" x14ac:dyDescent="0.25">
      <c r="B665" s="1"/>
      <c r="C665" s="26"/>
      <c r="D665" s="26"/>
      <c r="E665" s="1"/>
      <c r="F665" s="1"/>
      <c r="G665" s="1"/>
      <c r="H665" s="11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3.2" x14ac:dyDescent="0.25">
      <c r="B666" s="1"/>
      <c r="C666" s="26"/>
      <c r="D666" s="26"/>
      <c r="E666" s="1"/>
      <c r="F666" s="1"/>
      <c r="G666" s="1"/>
      <c r="H666" s="11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3.2" x14ac:dyDescent="0.25">
      <c r="B667" s="1"/>
      <c r="C667" s="26"/>
      <c r="D667" s="26"/>
      <c r="E667" s="1"/>
      <c r="F667" s="1"/>
      <c r="G667" s="1"/>
      <c r="H667" s="11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3.2" x14ac:dyDescent="0.25">
      <c r="B668" s="1"/>
      <c r="C668" s="26"/>
      <c r="D668" s="26"/>
      <c r="E668" s="1"/>
      <c r="F668" s="1"/>
      <c r="G668" s="1"/>
      <c r="H668" s="11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3.2" x14ac:dyDescent="0.25">
      <c r="B669" s="1"/>
      <c r="C669" s="26"/>
      <c r="D669" s="26"/>
      <c r="E669" s="1"/>
      <c r="F669" s="1"/>
      <c r="G669" s="1"/>
      <c r="H669" s="11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3.2" x14ac:dyDescent="0.25">
      <c r="B670" s="1"/>
      <c r="C670" s="26"/>
      <c r="D670" s="26"/>
      <c r="E670" s="1"/>
      <c r="F670" s="1"/>
      <c r="G670" s="1"/>
      <c r="H670" s="11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3.2" x14ac:dyDescent="0.25">
      <c r="B671" s="1"/>
      <c r="C671" s="26"/>
      <c r="D671" s="26"/>
      <c r="E671" s="1"/>
      <c r="F671" s="1"/>
      <c r="G671" s="1"/>
      <c r="H671" s="11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3.2" x14ac:dyDescent="0.25">
      <c r="B672" s="1"/>
      <c r="C672" s="26"/>
      <c r="D672" s="26"/>
      <c r="E672" s="1"/>
      <c r="F672" s="1"/>
      <c r="G672" s="1"/>
      <c r="H672" s="11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3.2" x14ac:dyDescent="0.25">
      <c r="B673" s="1"/>
      <c r="C673" s="26"/>
      <c r="D673" s="26"/>
      <c r="E673" s="1"/>
      <c r="F673" s="1"/>
      <c r="G673" s="1"/>
      <c r="H673" s="11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3.2" x14ac:dyDescent="0.25">
      <c r="B674" s="1"/>
      <c r="C674" s="26"/>
      <c r="D674" s="26"/>
      <c r="E674" s="1"/>
      <c r="F674" s="1"/>
      <c r="G674" s="1"/>
      <c r="H674" s="11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3.2" x14ac:dyDescent="0.25">
      <c r="B675" s="1"/>
      <c r="C675" s="26"/>
      <c r="D675" s="26"/>
      <c r="E675" s="1"/>
      <c r="F675" s="1"/>
      <c r="G675" s="1"/>
      <c r="H675" s="11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3.2" x14ac:dyDescent="0.25">
      <c r="B676" s="1"/>
      <c r="C676" s="26"/>
      <c r="D676" s="26"/>
      <c r="E676" s="1"/>
      <c r="F676" s="1"/>
      <c r="G676" s="1"/>
      <c r="H676" s="11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3.2" x14ac:dyDescent="0.25">
      <c r="B677" s="1"/>
      <c r="C677" s="26"/>
      <c r="D677" s="26"/>
      <c r="E677" s="1"/>
      <c r="F677" s="1"/>
      <c r="G677" s="1"/>
      <c r="H677" s="11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3.2" x14ac:dyDescent="0.25">
      <c r="B678" s="1"/>
      <c r="C678" s="26"/>
      <c r="D678" s="26"/>
      <c r="E678" s="1"/>
      <c r="F678" s="1"/>
      <c r="G678" s="1"/>
      <c r="H678" s="11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3.2" x14ac:dyDescent="0.25">
      <c r="B679" s="1"/>
      <c r="C679" s="26"/>
      <c r="D679" s="26"/>
      <c r="E679" s="1"/>
      <c r="F679" s="1"/>
      <c r="G679" s="1"/>
      <c r="H679" s="11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3.2" x14ac:dyDescent="0.25">
      <c r="B680" s="1"/>
      <c r="C680" s="26"/>
      <c r="D680" s="26"/>
      <c r="E680" s="1"/>
      <c r="F680" s="1"/>
      <c r="G680" s="1"/>
      <c r="H680" s="11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3.2" x14ac:dyDescent="0.25">
      <c r="B681" s="1"/>
      <c r="C681" s="26"/>
      <c r="D681" s="26"/>
      <c r="E681" s="1"/>
      <c r="F681" s="1"/>
      <c r="G681" s="1"/>
      <c r="H681" s="11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3.2" x14ac:dyDescent="0.25">
      <c r="B682" s="1"/>
      <c r="C682" s="26"/>
      <c r="D682" s="26"/>
      <c r="E682" s="1"/>
      <c r="F682" s="1"/>
      <c r="G682" s="1"/>
      <c r="H682" s="11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3.2" x14ac:dyDescent="0.25">
      <c r="B683" s="1"/>
      <c r="C683" s="26"/>
      <c r="D683" s="26"/>
      <c r="E683" s="1"/>
      <c r="F683" s="1"/>
      <c r="G683" s="1"/>
      <c r="H683" s="11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3.2" x14ac:dyDescent="0.25">
      <c r="B684" s="1"/>
      <c r="C684" s="26"/>
      <c r="D684" s="26"/>
      <c r="E684" s="1"/>
      <c r="F684" s="1"/>
      <c r="G684" s="1"/>
      <c r="H684" s="11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3.2" x14ac:dyDescent="0.25">
      <c r="B685" s="1"/>
      <c r="C685" s="26"/>
      <c r="D685" s="26"/>
      <c r="E685" s="1"/>
      <c r="F685" s="1"/>
      <c r="G685" s="1"/>
      <c r="H685" s="11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3.2" x14ac:dyDescent="0.25">
      <c r="B686" s="1"/>
      <c r="C686" s="26"/>
      <c r="D686" s="26"/>
      <c r="E686" s="1"/>
      <c r="F686" s="1"/>
      <c r="G686" s="1"/>
      <c r="H686" s="11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3.2" x14ac:dyDescent="0.25">
      <c r="B687" s="1"/>
      <c r="C687" s="26"/>
      <c r="D687" s="26"/>
      <c r="E687" s="1"/>
      <c r="F687" s="1"/>
      <c r="G687" s="1"/>
      <c r="H687" s="11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3.2" x14ac:dyDescent="0.25">
      <c r="B688" s="1"/>
      <c r="C688" s="26"/>
      <c r="D688" s="26"/>
      <c r="E688" s="1"/>
      <c r="F688" s="1"/>
      <c r="G688" s="1"/>
      <c r="H688" s="11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3.2" x14ac:dyDescent="0.25">
      <c r="B689" s="1"/>
      <c r="C689" s="26"/>
      <c r="D689" s="26"/>
      <c r="E689" s="1"/>
      <c r="F689" s="1"/>
      <c r="G689" s="1"/>
      <c r="H689" s="11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3.2" x14ac:dyDescent="0.25">
      <c r="B690" s="1"/>
      <c r="C690" s="26"/>
      <c r="D690" s="26"/>
      <c r="E690" s="1"/>
      <c r="F690" s="1"/>
      <c r="G690" s="1"/>
      <c r="H690" s="11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3.2" x14ac:dyDescent="0.25">
      <c r="B691" s="1"/>
      <c r="C691" s="26"/>
      <c r="D691" s="26"/>
      <c r="E691" s="1"/>
      <c r="F691" s="1"/>
      <c r="G691" s="1"/>
      <c r="H691" s="11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3.2" x14ac:dyDescent="0.25">
      <c r="B692" s="1"/>
      <c r="C692" s="26"/>
      <c r="D692" s="26"/>
      <c r="E692" s="1"/>
      <c r="F692" s="1"/>
      <c r="G692" s="1"/>
      <c r="H692" s="11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3.2" x14ac:dyDescent="0.25">
      <c r="B693" s="1"/>
      <c r="C693" s="26"/>
      <c r="D693" s="26"/>
      <c r="E693" s="1"/>
      <c r="F693" s="1"/>
      <c r="G693" s="1"/>
      <c r="H693" s="11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3.2" x14ac:dyDescent="0.25">
      <c r="B694" s="1"/>
      <c r="C694" s="26"/>
      <c r="D694" s="26"/>
      <c r="E694" s="1"/>
      <c r="F694" s="1"/>
      <c r="G694" s="1"/>
      <c r="H694" s="11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3.2" x14ac:dyDescent="0.25">
      <c r="B695" s="1"/>
      <c r="C695" s="26"/>
      <c r="D695" s="26"/>
      <c r="E695" s="1"/>
      <c r="F695" s="1"/>
      <c r="G695" s="1"/>
      <c r="H695" s="11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3.2" x14ac:dyDescent="0.25">
      <c r="B696" s="1"/>
      <c r="C696" s="26"/>
      <c r="D696" s="26"/>
      <c r="E696" s="1"/>
      <c r="F696" s="1"/>
      <c r="G696" s="1"/>
      <c r="H696" s="11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3.2" x14ac:dyDescent="0.25">
      <c r="B697" s="1"/>
      <c r="C697" s="26"/>
      <c r="D697" s="26"/>
      <c r="E697" s="1"/>
      <c r="F697" s="1"/>
      <c r="G697" s="1"/>
      <c r="H697" s="11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3.2" x14ac:dyDescent="0.25">
      <c r="B698" s="1"/>
      <c r="C698" s="26"/>
      <c r="D698" s="26"/>
      <c r="E698" s="1"/>
      <c r="F698" s="1"/>
      <c r="G698" s="1"/>
      <c r="H698" s="11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3.2" x14ac:dyDescent="0.25">
      <c r="B699" s="1"/>
      <c r="C699" s="26"/>
      <c r="D699" s="26"/>
      <c r="E699" s="1"/>
      <c r="F699" s="1"/>
      <c r="G699" s="1"/>
      <c r="H699" s="11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3.2" x14ac:dyDescent="0.25">
      <c r="B700" s="1"/>
      <c r="C700" s="26"/>
      <c r="D700" s="26"/>
      <c r="E700" s="1"/>
      <c r="F700" s="1"/>
      <c r="G700" s="1"/>
      <c r="H700" s="11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3.2" x14ac:dyDescent="0.25">
      <c r="B701" s="1"/>
      <c r="C701" s="26"/>
      <c r="D701" s="26"/>
      <c r="E701" s="1"/>
      <c r="F701" s="1"/>
      <c r="G701" s="1"/>
      <c r="H701" s="11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3.2" x14ac:dyDescent="0.25">
      <c r="B702" s="1"/>
      <c r="C702" s="26"/>
      <c r="D702" s="26"/>
      <c r="E702" s="1"/>
      <c r="F702" s="1"/>
      <c r="G702" s="1"/>
      <c r="H702" s="11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3.2" x14ac:dyDescent="0.25">
      <c r="B703" s="1"/>
      <c r="C703" s="26"/>
      <c r="D703" s="26"/>
      <c r="E703" s="1"/>
      <c r="F703" s="1"/>
      <c r="G703" s="1"/>
      <c r="H703" s="11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3.2" x14ac:dyDescent="0.25">
      <c r="B704" s="1"/>
      <c r="C704" s="26"/>
      <c r="D704" s="26"/>
      <c r="E704" s="1"/>
      <c r="F704" s="1"/>
      <c r="G704" s="1"/>
      <c r="H704" s="11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3.2" x14ac:dyDescent="0.25">
      <c r="B705" s="1"/>
      <c r="C705" s="26"/>
      <c r="D705" s="26"/>
      <c r="E705" s="1"/>
      <c r="F705" s="1"/>
      <c r="G705" s="1"/>
      <c r="H705" s="11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3.2" x14ac:dyDescent="0.25">
      <c r="B706" s="1"/>
      <c r="C706" s="26"/>
      <c r="D706" s="26"/>
      <c r="E706" s="1"/>
      <c r="F706" s="1"/>
      <c r="G706" s="1"/>
      <c r="H706" s="11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3.2" x14ac:dyDescent="0.25">
      <c r="B707" s="1"/>
      <c r="C707" s="26"/>
      <c r="D707" s="26"/>
      <c r="E707" s="1"/>
      <c r="F707" s="1"/>
      <c r="G707" s="1"/>
      <c r="H707" s="11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3.2" x14ac:dyDescent="0.25">
      <c r="B708" s="1"/>
      <c r="C708" s="26"/>
      <c r="D708" s="26"/>
      <c r="E708" s="1"/>
      <c r="F708" s="1"/>
      <c r="G708" s="1"/>
      <c r="H708" s="11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3.2" x14ac:dyDescent="0.25">
      <c r="B709" s="1"/>
      <c r="C709" s="26"/>
      <c r="D709" s="26"/>
      <c r="E709" s="1"/>
      <c r="F709" s="1"/>
      <c r="G709" s="1"/>
      <c r="H709" s="11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3.2" x14ac:dyDescent="0.25">
      <c r="B710" s="1"/>
      <c r="C710" s="26"/>
      <c r="D710" s="26"/>
      <c r="E710" s="1"/>
      <c r="F710" s="1"/>
      <c r="G710" s="1"/>
      <c r="H710" s="11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3.2" x14ac:dyDescent="0.25">
      <c r="B711" s="1"/>
      <c r="C711" s="26"/>
      <c r="D711" s="26"/>
      <c r="E711" s="1"/>
      <c r="F711" s="1"/>
      <c r="G711" s="1"/>
      <c r="H711" s="11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3.2" x14ac:dyDescent="0.25">
      <c r="B712" s="1"/>
      <c r="C712" s="26"/>
      <c r="D712" s="26"/>
      <c r="E712" s="1"/>
      <c r="F712" s="1"/>
      <c r="G712" s="1"/>
      <c r="H712" s="11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3.2" x14ac:dyDescent="0.25">
      <c r="B713" s="1"/>
      <c r="C713" s="26"/>
      <c r="D713" s="26"/>
      <c r="E713" s="1"/>
      <c r="F713" s="1"/>
      <c r="G713" s="1"/>
      <c r="H713" s="11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3.2" x14ac:dyDescent="0.25">
      <c r="B714" s="1"/>
      <c r="C714" s="26"/>
      <c r="D714" s="26"/>
      <c r="E714" s="1"/>
      <c r="F714" s="1"/>
      <c r="G714" s="1"/>
      <c r="H714" s="11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3.2" x14ac:dyDescent="0.25">
      <c r="B715" s="1"/>
      <c r="C715" s="26"/>
      <c r="D715" s="26"/>
      <c r="E715" s="1"/>
      <c r="F715" s="1"/>
      <c r="G715" s="1"/>
      <c r="H715" s="11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3.2" x14ac:dyDescent="0.25">
      <c r="B716" s="1"/>
      <c r="C716" s="26"/>
      <c r="D716" s="26"/>
      <c r="E716" s="1"/>
      <c r="F716" s="1"/>
      <c r="G716" s="1"/>
      <c r="H716" s="11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3.2" x14ac:dyDescent="0.25">
      <c r="B717" s="1"/>
      <c r="C717" s="26"/>
      <c r="D717" s="26"/>
      <c r="E717" s="1"/>
      <c r="F717" s="1"/>
      <c r="G717" s="1"/>
      <c r="H717" s="11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3.2" x14ac:dyDescent="0.25">
      <c r="B718" s="1"/>
      <c r="C718" s="26"/>
      <c r="D718" s="26"/>
      <c r="E718" s="1"/>
      <c r="F718" s="1"/>
      <c r="G718" s="1"/>
      <c r="H718" s="11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3.2" x14ac:dyDescent="0.25">
      <c r="B719" s="1"/>
      <c r="C719" s="26"/>
      <c r="D719" s="26"/>
      <c r="E719" s="1"/>
      <c r="F719" s="1"/>
      <c r="G719" s="1"/>
      <c r="H719" s="11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3.2" x14ac:dyDescent="0.25">
      <c r="B720" s="1"/>
      <c r="C720" s="26"/>
      <c r="D720" s="26"/>
      <c r="E720" s="1"/>
      <c r="F720" s="1"/>
      <c r="G720" s="1"/>
      <c r="H720" s="11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3.2" x14ac:dyDescent="0.25">
      <c r="B721" s="1"/>
      <c r="C721" s="26"/>
      <c r="D721" s="26"/>
      <c r="E721" s="1"/>
      <c r="F721" s="1"/>
      <c r="G721" s="1"/>
      <c r="H721" s="11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3.2" x14ac:dyDescent="0.25">
      <c r="B722" s="1"/>
      <c r="C722" s="26"/>
      <c r="D722" s="26"/>
      <c r="E722" s="1"/>
      <c r="F722" s="1"/>
      <c r="G722" s="1"/>
      <c r="H722" s="11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3.2" x14ac:dyDescent="0.25">
      <c r="B723" s="1"/>
      <c r="C723" s="26"/>
      <c r="D723" s="26"/>
      <c r="E723" s="1"/>
      <c r="F723" s="1"/>
      <c r="G723" s="1"/>
      <c r="H723" s="11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3.2" x14ac:dyDescent="0.25">
      <c r="B724" s="1"/>
      <c r="C724" s="26"/>
      <c r="D724" s="26"/>
      <c r="E724" s="1"/>
      <c r="F724" s="1"/>
      <c r="G724" s="1"/>
      <c r="H724" s="11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3.2" x14ac:dyDescent="0.25">
      <c r="B725" s="1"/>
      <c r="C725" s="26"/>
      <c r="D725" s="26"/>
      <c r="E725" s="1"/>
      <c r="F725" s="1"/>
      <c r="G725" s="1"/>
      <c r="H725" s="11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3.2" x14ac:dyDescent="0.25">
      <c r="B726" s="1"/>
      <c r="C726" s="26"/>
      <c r="D726" s="26"/>
      <c r="E726" s="1"/>
      <c r="F726" s="1"/>
      <c r="G726" s="1"/>
      <c r="H726" s="11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3.2" x14ac:dyDescent="0.25">
      <c r="B727" s="1"/>
      <c r="C727" s="26"/>
      <c r="D727" s="26"/>
      <c r="E727" s="1"/>
      <c r="F727" s="1"/>
      <c r="G727" s="1"/>
      <c r="H727" s="11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3.2" x14ac:dyDescent="0.25">
      <c r="B728" s="1"/>
      <c r="C728" s="26"/>
      <c r="D728" s="26"/>
      <c r="E728" s="1"/>
      <c r="F728" s="1"/>
      <c r="G728" s="1"/>
      <c r="H728" s="11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3.2" x14ac:dyDescent="0.25">
      <c r="B729" s="1"/>
      <c r="C729" s="26"/>
      <c r="D729" s="26"/>
      <c r="E729" s="1"/>
      <c r="F729" s="1"/>
      <c r="G729" s="1"/>
      <c r="H729" s="11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3.2" x14ac:dyDescent="0.25">
      <c r="B730" s="1"/>
      <c r="C730" s="26"/>
      <c r="D730" s="26"/>
      <c r="E730" s="1"/>
      <c r="F730" s="1"/>
      <c r="G730" s="1"/>
      <c r="H730" s="11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3.2" x14ac:dyDescent="0.25">
      <c r="B731" s="1"/>
      <c r="C731" s="26"/>
      <c r="D731" s="26"/>
      <c r="E731" s="1"/>
      <c r="F731" s="1"/>
      <c r="G731" s="1"/>
      <c r="H731" s="11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3.2" x14ac:dyDescent="0.25">
      <c r="B732" s="1"/>
      <c r="C732" s="26"/>
      <c r="D732" s="26"/>
      <c r="E732" s="1"/>
      <c r="F732" s="1"/>
      <c r="G732" s="1"/>
      <c r="H732" s="11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3.2" x14ac:dyDescent="0.25">
      <c r="B733" s="1"/>
      <c r="C733" s="26"/>
      <c r="D733" s="26"/>
      <c r="E733" s="1"/>
      <c r="F733" s="1"/>
      <c r="G733" s="1"/>
      <c r="H733" s="11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3.2" x14ac:dyDescent="0.25">
      <c r="B734" s="1"/>
      <c r="C734" s="26"/>
      <c r="D734" s="26"/>
      <c r="E734" s="1"/>
      <c r="F734" s="1"/>
      <c r="G734" s="1"/>
      <c r="H734" s="11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3.2" x14ac:dyDescent="0.25">
      <c r="B735" s="1"/>
      <c r="C735" s="26"/>
      <c r="D735" s="26"/>
      <c r="E735" s="1"/>
      <c r="F735" s="1"/>
      <c r="G735" s="1"/>
      <c r="H735" s="11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3.2" x14ac:dyDescent="0.25">
      <c r="B736" s="1"/>
      <c r="C736" s="26"/>
      <c r="D736" s="26"/>
      <c r="E736" s="1"/>
      <c r="F736" s="1"/>
      <c r="G736" s="1"/>
      <c r="H736" s="11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3.2" x14ac:dyDescent="0.25">
      <c r="B737" s="1"/>
      <c r="C737" s="26"/>
      <c r="D737" s="26"/>
      <c r="E737" s="1"/>
      <c r="F737" s="1"/>
      <c r="G737" s="1"/>
      <c r="H737" s="11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3.2" x14ac:dyDescent="0.25">
      <c r="B738" s="1"/>
      <c r="C738" s="26"/>
      <c r="D738" s="26"/>
      <c r="E738" s="1"/>
      <c r="F738" s="1"/>
      <c r="G738" s="1"/>
      <c r="H738" s="11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3.2" x14ac:dyDescent="0.25">
      <c r="B739" s="1"/>
      <c r="C739" s="26"/>
      <c r="D739" s="26"/>
      <c r="E739" s="1"/>
      <c r="F739" s="1"/>
      <c r="G739" s="1"/>
      <c r="H739" s="11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3.2" x14ac:dyDescent="0.25">
      <c r="B740" s="1"/>
      <c r="C740" s="26"/>
      <c r="D740" s="26"/>
      <c r="E740" s="1"/>
      <c r="F740" s="1"/>
      <c r="G740" s="1"/>
      <c r="H740" s="11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3.2" x14ac:dyDescent="0.25">
      <c r="B741" s="1"/>
      <c r="C741" s="26"/>
      <c r="D741" s="26"/>
      <c r="E741" s="1"/>
      <c r="F741" s="1"/>
      <c r="G741" s="1"/>
      <c r="H741" s="11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3.2" x14ac:dyDescent="0.25">
      <c r="B742" s="1"/>
      <c r="C742" s="26"/>
      <c r="D742" s="26"/>
      <c r="E742" s="1"/>
      <c r="F742" s="1"/>
      <c r="G742" s="1"/>
      <c r="H742" s="11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3.2" x14ac:dyDescent="0.25">
      <c r="B743" s="1"/>
      <c r="C743" s="26"/>
      <c r="D743" s="26"/>
      <c r="E743" s="1"/>
      <c r="F743" s="1"/>
      <c r="G743" s="1"/>
      <c r="H743" s="11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3.2" x14ac:dyDescent="0.25">
      <c r="B744" s="1"/>
      <c r="C744" s="26"/>
      <c r="D744" s="26"/>
      <c r="E744" s="1"/>
      <c r="F744" s="1"/>
      <c r="G744" s="1"/>
      <c r="H744" s="11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3.2" x14ac:dyDescent="0.25">
      <c r="B745" s="1"/>
      <c r="C745" s="26"/>
      <c r="D745" s="26"/>
      <c r="E745" s="1"/>
      <c r="F745" s="1"/>
      <c r="G745" s="1"/>
      <c r="H745" s="11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3.2" x14ac:dyDescent="0.25">
      <c r="B746" s="1"/>
      <c r="C746" s="26"/>
      <c r="D746" s="26"/>
      <c r="E746" s="1"/>
      <c r="F746" s="1"/>
      <c r="G746" s="1"/>
      <c r="H746" s="11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3.2" x14ac:dyDescent="0.25">
      <c r="B747" s="1"/>
      <c r="C747" s="26"/>
      <c r="D747" s="26"/>
      <c r="E747" s="1"/>
      <c r="F747" s="1"/>
      <c r="G747" s="1"/>
      <c r="H747" s="11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3.2" x14ac:dyDescent="0.25">
      <c r="B748" s="1"/>
      <c r="C748" s="26"/>
      <c r="D748" s="26"/>
      <c r="E748" s="1"/>
      <c r="F748" s="1"/>
      <c r="G748" s="1"/>
      <c r="H748" s="11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3.2" x14ac:dyDescent="0.25">
      <c r="B749" s="1"/>
      <c r="C749" s="26"/>
      <c r="D749" s="26"/>
      <c r="E749" s="1"/>
      <c r="F749" s="1"/>
      <c r="G749" s="1"/>
      <c r="H749" s="11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3.2" x14ac:dyDescent="0.25">
      <c r="B750" s="1"/>
      <c r="C750" s="26"/>
      <c r="D750" s="26"/>
      <c r="E750" s="1"/>
      <c r="F750" s="1"/>
      <c r="G750" s="1"/>
      <c r="H750" s="11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3.2" x14ac:dyDescent="0.25">
      <c r="B751" s="1"/>
      <c r="C751" s="26"/>
      <c r="D751" s="26"/>
      <c r="E751" s="1"/>
      <c r="F751" s="1"/>
      <c r="G751" s="1"/>
      <c r="H751" s="11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3.2" x14ac:dyDescent="0.25">
      <c r="B752" s="1"/>
      <c r="C752" s="26"/>
      <c r="D752" s="26"/>
      <c r="E752" s="1"/>
      <c r="F752" s="1"/>
      <c r="G752" s="1"/>
      <c r="H752" s="11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3.2" x14ac:dyDescent="0.25">
      <c r="B753" s="1"/>
      <c r="C753" s="26"/>
      <c r="D753" s="26"/>
      <c r="E753" s="1"/>
      <c r="F753" s="1"/>
      <c r="G753" s="1"/>
      <c r="H753" s="11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3.2" x14ac:dyDescent="0.25">
      <c r="B754" s="1"/>
      <c r="C754" s="26"/>
      <c r="D754" s="26"/>
      <c r="E754" s="1"/>
      <c r="F754" s="1"/>
      <c r="G754" s="1"/>
      <c r="H754" s="11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3.2" x14ac:dyDescent="0.25">
      <c r="B755" s="1"/>
      <c r="C755" s="26"/>
      <c r="D755" s="26"/>
      <c r="E755" s="1"/>
      <c r="F755" s="1"/>
      <c r="G755" s="1"/>
      <c r="H755" s="11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3.2" x14ac:dyDescent="0.25">
      <c r="B756" s="1"/>
      <c r="C756" s="26"/>
      <c r="D756" s="26"/>
      <c r="E756" s="1"/>
      <c r="F756" s="1"/>
      <c r="G756" s="1"/>
      <c r="H756" s="11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3.2" x14ac:dyDescent="0.25">
      <c r="B757" s="1"/>
      <c r="C757" s="26"/>
      <c r="D757" s="26"/>
      <c r="E757" s="1"/>
      <c r="F757" s="1"/>
      <c r="G757" s="1"/>
      <c r="H757" s="11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3.2" x14ac:dyDescent="0.25">
      <c r="B758" s="1"/>
      <c r="C758" s="26"/>
      <c r="D758" s="26"/>
      <c r="E758" s="1"/>
      <c r="F758" s="1"/>
      <c r="G758" s="1"/>
      <c r="H758" s="11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3.2" x14ac:dyDescent="0.25">
      <c r="B759" s="1"/>
      <c r="C759" s="26"/>
      <c r="D759" s="26"/>
      <c r="E759" s="1"/>
      <c r="F759" s="1"/>
      <c r="G759" s="1"/>
      <c r="H759" s="11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3.2" x14ac:dyDescent="0.25">
      <c r="B760" s="1"/>
      <c r="C760" s="26"/>
      <c r="D760" s="26"/>
      <c r="E760" s="1"/>
      <c r="F760" s="1"/>
      <c r="G760" s="1"/>
      <c r="H760" s="11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3.2" x14ac:dyDescent="0.25">
      <c r="B761" s="1"/>
      <c r="C761" s="26"/>
      <c r="D761" s="26"/>
      <c r="E761" s="1"/>
      <c r="F761" s="1"/>
      <c r="G761" s="1"/>
      <c r="H761" s="11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3.2" x14ac:dyDescent="0.25">
      <c r="B762" s="1"/>
      <c r="C762" s="26"/>
      <c r="D762" s="26"/>
      <c r="E762" s="1"/>
      <c r="F762" s="1"/>
      <c r="G762" s="1"/>
      <c r="H762" s="11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3.2" x14ac:dyDescent="0.25">
      <c r="B763" s="1"/>
      <c r="C763" s="26"/>
      <c r="D763" s="26"/>
      <c r="E763" s="1"/>
      <c r="F763" s="1"/>
      <c r="G763" s="1"/>
      <c r="H763" s="11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3.2" x14ac:dyDescent="0.25">
      <c r="B764" s="1"/>
      <c r="C764" s="26"/>
      <c r="D764" s="26"/>
      <c r="E764" s="1"/>
      <c r="F764" s="1"/>
      <c r="G764" s="1"/>
      <c r="H764" s="11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3.2" x14ac:dyDescent="0.25">
      <c r="B765" s="1"/>
      <c r="C765" s="26"/>
      <c r="D765" s="26"/>
      <c r="E765" s="1"/>
      <c r="F765" s="1"/>
      <c r="G765" s="1"/>
      <c r="H765" s="11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3.2" x14ac:dyDescent="0.25">
      <c r="B766" s="1"/>
      <c r="C766" s="26"/>
      <c r="D766" s="26"/>
      <c r="E766" s="1"/>
      <c r="F766" s="1"/>
      <c r="G766" s="1"/>
      <c r="H766" s="11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3.2" x14ac:dyDescent="0.25">
      <c r="B767" s="1"/>
      <c r="C767" s="26"/>
      <c r="D767" s="26"/>
      <c r="E767" s="1"/>
      <c r="F767" s="1"/>
      <c r="G767" s="1"/>
      <c r="H767" s="11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3.2" x14ac:dyDescent="0.25">
      <c r="B768" s="1"/>
      <c r="C768" s="26"/>
      <c r="D768" s="26"/>
      <c r="E768" s="1"/>
      <c r="F768" s="1"/>
      <c r="G768" s="1"/>
      <c r="H768" s="11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3.2" x14ac:dyDescent="0.25">
      <c r="B769" s="1"/>
      <c r="C769" s="26"/>
      <c r="D769" s="26"/>
      <c r="E769" s="1"/>
      <c r="F769" s="1"/>
      <c r="G769" s="1"/>
      <c r="H769" s="11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3.2" x14ac:dyDescent="0.25">
      <c r="B770" s="1"/>
      <c r="C770" s="26"/>
      <c r="D770" s="26"/>
      <c r="E770" s="1"/>
      <c r="F770" s="1"/>
      <c r="G770" s="1"/>
      <c r="H770" s="11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3.2" x14ac:dyDescent="0.25">
      <c r="B771" s="1"/>
      <c r="C771" s="26"/>
      <c r="D771" s="26"/>
      <c r="E771" s="1"/>
      <c r="F771" s="1"/>
      <c r="G771" s="1"/>
      <c r="H771" s="11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3.2" x14ac:dyDescent="0.25">
      <c r="B772" s="1"/>
      <c r="C772" s="26"/>
      <c r="D772" s="26"/>
      <c r="E772" s="1"/>
      <c r="F772" s="1"/>
      <c r="G772" s="1"/>
      <c r="H772" s="11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3.2" x14ac:dyDescent="0.25">
      <c r="B773" s="1"/>
      <c r="C773" s="26"/>
      <c r="D773" s="26"/>
      <c r="E773" s="1"/>
      <c r="F773" s="1"/>
      <c r="G773" s="1"/>
      <c r="H773" s="11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3.2" x14ac:dyDescent="0.25">
      <c r="B774" s="1"/>
      <c r="C774" s="26"/>
      <c r="D774" s="26"/>
      <c r="E774" s="1"/>
      <c r="F774" s="1"/>
      <c r="G774" s="1"/>
      <c r="H774" s="11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3.2" x14ac:dyDescent="0.25">
      <c r="B775" s="1"/>
      <c r="C775" s="26"/>
      <c r="D775" s="26"/>
      <c r="E775" s="1"/>
      <c r="F775" s="1"/>
      <c r="G775" s="1"/>
      <c r="H775" s="11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3.2" x14ac:dyDescent="0.25">
      <c r="B776" s="1"/>
      <c r="C776" s="26"/>
      <c r="D776" s="26"/>
      <c r="E776" s="1"/>
      <c r="F776" s="1"/>
      <c r="G776" s="1"/>
      <c r="H776" s="11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3.2" x14ac:dyDescent="0.25">
      <c r="B777" s="1"/>
      <c r="C777" s="26"/>
      <c r="D777" s="26"/>
      <c r="E777" s="1"/>
      <c r="F777" s="1"/>
      <c r="G777" s="1"/>
      <c r="H777" s="11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3.2" x14ac:dyDescent="0.25">
      <c r="B778" s="1"/>
      <c r="C778" s="26"/>
      <c r="D778" s="26"/>
      <c r="E778" s="1"/>
      <c r="F778" s="1"/>
      <c r="G778" s="1"/>
      <c r="H778" s="11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3.2" x14ac:dyDescent="0.25">
      <c r="B779" s="1"/>
      <c r="C779" s="26"/>
      <c r="D779" s="26"/>
      <c r="E779" s="1"/>
      <c r="F779" s="1"/>
      <c r="G779" s="1"/>
      <c r="H779" s="11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3.2" x14ac:dyDescent="0.25">
      <c r="B780" s="1"/>
      <c r="C780" s="26"/>
      <c r="D780" s="26"/>
      <c r="E780" s="1"/>
      <c r="F780" s="1"/>
      <c r="G780" s="1"/>
      <c r="H780" s="11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3.2" x14ac:dyDescent="0.25">
      <c r="B781" s="1"/>
      <c r="C781" s="26"/>
      <c r="D781" s="26"/>
      <c r="E781" s="1"/>
      <c r="F781" s="1"/>
      <c r="G781" s="1"/>
      <c r="H781" s="11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3.2" x14ac:dyDescent="0.25">
      <c r="B782" s="1"/>
      <c r="C782" s="26"/>
      <c r="D782" s="26"/>
      <c r="E782" s="1"/>
      <c r="F782" s="1"/>
      <c r="G782" s="1"/>
      <c r="H782" s="11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3.2" x14ac:dyDescent="0.25">
      <c r="B783" s="1"/>
      <c r="C783" s="26"/>
      <c r="D783" s="26"/>
      <c r="E783" s="1"/>
      <c r="F783" s="1"/>
      <c r="G783" s="1"/>
      <c r="H783" s="11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3.2" x14ac:dyDescent="0.25">
      <c r="B784" s="1"/>
      <c r="C784" s="26"/>
      <c r="D784" s="26"/>
      <c r="E784" s="1"/>
      <c r="F784" s="1"/>
      <c r="G784" s="1"/>
      <c r="H784" s="11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3.2" x14ac:dyDescent="0.25">
      <c r="B785" s="1"/>
      <c r="C785" s="26"/>
      <c r="D785" s="26"/>
      <c r="E785" s="1"/>
      <c r="F785" s="1"/>
      <c r="G785" s="1"/>
      <c r="H785" s="11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3.2" x14ac:dyDescent="0.25">
      <c r="B786" s="1"/>
      <c r="C786" s="26"/>
      <c r="D786" s="26"/>
      <c r="E786" s="1"/>
      <c r="F786" s="1"/>
      <c r="G786" s="1"/>
      <c r="H786" s="11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3.2" x14ac:dyDescent="0.25">
      <c r="B787" s="1"/>
      <c r="C787" s="26"/>
      <c r="D787" s="26"/>
      <c r="E787" s="1"/>
      <c r="F787" s="1"/>
      <c r="G787" s="1"/>
      <c r="H787" s="11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3.2" x14ac:dyDescent="0.25">
      <c r="B788" s="1"/>
      <c r="C788" s="26"/>
      <c r="D788" s="26"/>
      <c r="E788" s="1"/>
      <c r="F788" s="1"/>
      <c r="G788" s="1"/>
      <c r="H788" s="11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3.2" x14ac:dyDescent="0.25">
      <c r="B789" s="1"/>
      <c r="C789" s="26"/>
      <c r="D789" s="26"/>
      <c r="E789" s="1"/>
      <c r="F789" s="1"/>
      <c r="G789" s="1"/>
      <c r="H789" s="11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3.2" x14ac:dyDescent="0.25">
      <c r="B790" s="1"/>
      <c r="C790" s="26"/>
      <c r="D790" s="26"/>
      <c r="E790" s="1"/>
      <c r="F790" s="1"/>
      <c r="G790" s="1"/>
      <c r="H790" s="11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3.2" x14ac:dyDescent="0.25">
      <c r="B791" s="1"/>
      <c r="C791" s="26"/>
      <c r="D791" s="26"/>
      <c r="E791" s="1"/>
      <c r="F791" s="1"/>
      <c r="G791" s="1"/>
      <c r="H791" s="11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3.2" x14ac:dyDescent="0.25">
      <c r="B792" s="1"/>
      <c r="C792" s="26"/>
      <c r="D792" s="26"/>
      <c r="E792" s="1"/>
      <c r="F792" s="1"/>
      <c r="G792" s="1"/>
      <c r="H792" s="11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3.2" x14ac:dyDescent="0.25">
      <c r="B793" s="1"/>
      <c r="C793" s="26"/>
      <c r="D793" s="26"/>
      <c r="E793" s="1"/>
      <c r="F793" s="1"/>
      <c r="G793" s="1"/>
      <c r="H793" s="11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3.2" x14ac:dyDescent="0.25">
      <c r="B794" s="1"/>
      <c r="C794" s="26"/>
      <c r="D794" s="26"/>
      <c r="E794" s="1"/>
      <c r="F794" s="1"/>
      <c r="G794" s="1"/>
      <c r="H794" s="11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3.2" x14ac:dyDescent="0.25">
      <c r="B795" s="1"/>
      <c r="C795" s="26"/>
      <c r="D795" s="26"/>
      <c r="E795" s="1"/>
      <c r="F795" s="1"/>
      <c r="G795" s="1"/>
      <c r="H795" s="11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3.2" x14ac:dyDescent="0.25">
      <c r="B796" s="1"/>
      <c r="C796" s="26"/>
      <c r="D796" s="26"/>
      <c r="E796" s="1"/>
      <c r="F796" s="1"/>
      <c r="G796" s="1"/>
      <c r="H796" s="11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3.2" x14ac:dyDescent="0.25">
      <c r="B797" s="1"/>
      <c r="C797" s="26"/>
      <c r="D797" s="26"/>
      <c r="E797" s="1"/>
      <c r="F797" s="1"/>
      <c r="G797" s="1"/>
      <c r="H797" s="11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3.2" x14ac:dyDescent="0.25">
      <c r="B798" s="1"/>
      <c r="C798" s="26"/>
      <c r="D798" s="26"/>
      <c r="E798" s="1"/>
      <c r="F798" s="1"/>
      <c r="G798" s="1"/>
      <c r="H798" s="11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3.2" x14ac:dyDescent="0.25">
      <c r="B799" s="1"/>
      <c r="C799" s="26"/>
      <c r="D799" s="26"/>
      <c r="E799" s="1"/>
      <c r="F799" s="1"/>
      <c r="G799" s="1"/>
      <c r="H799" s="11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3.2" x14ac:dyDescent="0.25">
      <c r="B800" s="1"/>
      <c r="C800" s="26"/>
      <c r="D800" s="26"/>
      <c r="E800" s="1"/>
      <c r="F800" s="1"/>
      <c r="G800" s="1"/>
      <c r="H800" s="11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3.2" x14ac:dyDescent="0.25">
      <c r="B801" s="1"/>
      <c r="C801" s="26"/>
      <c r="D801" s="26"/>
      <c r="E801" s="1"/>
      <c r="F801" s="1"/>
      <c r="G801" s="1"/>
      <c r="H801" s="11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3.2" x14ac:dyDescent="0.25">
      <c r="B802" s="1"/>
      <c r="C802" s="26"/>
      <c r="D802" s="26"/>
      <c r="E802" s="1"/>
      <c r="F802" s="1"/>
      <c r="G802" s="1"/>
      <c r="H802" s="11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3.2" x14ac:dyDescent="0.25">
      <c r="B803" s="1"/>
      <c r="C803" s="26"/>
      <c r="D803" s="26"/>
      <c r="E803" s="1"/>
      <c r="F803" s="1"/>
      <c r="G803" s="1"/>
      <c r="H803" s="11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3.2" x14ac:dyDescent="0.25">
      <c r="B804" s="1"/>
      <c r="C804" s="26"/>
      <c r="D804" s="26"/>
      <c r="E804" s="1"/>
      <c r="F804" s="1"/>
      <c r="G804" s="1"/>
      <c r="H804" s="11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3.2" x14ac:dyDescent="0.25">
      <c r="B805" s="1"/>
      <c r="C805" s="26"/>
      <c r="D805" s="26"/>
      <c r="E805" s="1"/>
      <c r="F805" s="1"/>
      <c r="G805" s="1"/>
      <c r="H805" s="11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3.2" x14ac:dyDescent="0.25">
      <c r="B806" s="1"/>
      <c r="C806" s="26"/>
      <c r="D806" s="26"/>
      <c r="E806" s="1"/>
      <c r="F806" s="1"/>
      <c r="G806" s="1"/>
      <c r="H806" s="11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3.2" x14ac:dyDescent="0.25">
      <c r="B807" s="1"/>
      <c r="C807" s="26"/>
      <c r="D807" s="26"/>
      <c r="E807" s="1"/>
      <c r="F807" s="1"/>
      <c r="G807" s="1"/>
      <c r="H807" s="11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3.2" x14ac:dyDescent="0.25">
      <c r="B808" s="1"/>
      <c r="C808" s="26"/>
      <c r="D808" s="26"/>
      <c r="E808" s="1"/>
      <c r="F808" s="1"/>
      <c r="G808" s="1"/>
      <c r="H808" s="11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3.2" x14ac:dyDescent="0.25">
      <c r="B809" s="1"/>
      <c r="C809" s="26"/>
      <c r="D809" s="26"/>
      <c r="E809" s="1"/>
      <c r="F809" s="1"/>
      <c r="G809" s="1"/>
      <c r="H809" s="11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3.2" x14ac:dyDescent="0.25">
      <c r="B810" s="1"/>
      <c r="C810" s="26"/>
      <c r="D810" s="26"/>
      <c r="E810" s="1"/>
      <c r="F810" s="1"/>
      <c r="G810" s="1"/>
      <c r="H810" s="11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3.2" x14ac:dyDescent="0.25">
      <c r="B811" s="1"/>
      <c r="C811" s="26"/>
      <c r="D811" s="26"/>
      <c r="E811" s="1"/>
      <c r="F811" s="1"/>
      <c r="G811" s="1"/>
      <c r="H811" s="11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3.2" x14ac:dyDescent="0.25">
      <c r="B812" s="1"/>
      <c r="C812" s="26"/>
      <c r="D812" s="26"/>
      <c r="E812" s="1"/>
      <c r="F812" s="1"/>
      <c r="G812" s="1"/>
      <c r="H812" s="11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3.2" x14ac:dyDescent="0.25">
      <c r="B813" s="1"/>
      <c r="C813" s="26"/>
      <c r="D813" s="26"/>
      <c r="E813" s="1"/>
      <c r="F813" s="1"/>
      <c r="G813" s="1"/>
      <c r="H813" s="11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3.2" x14ac:dyDescent="0.25">
      <c r="B814" s="1"/>
      <c r="C814" s="26"/>
      <c r="D814" s="26"/>
      <c r="E814" s="1"/>
      <c r="F814" s="1"/>
      <c r="G814" s="1"/>
      <c r="H814" s="11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3.2" x14ac:dyDescent="0.25">
      <c r="B815" s="1"/>
      <c r="C815" s="26"/>
      <c r="D815" s="26"/>
      <c r="E815" s="1"/>
      <c r="F815" s="1"/>
      <c r="G815" s="1"/>
      <c r="H815" s="11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3.2" x14ac:dyDescent="0.25">
      <c r="B816" s="1"/>
      <c r="C816" s="26"/>
      <c r="D816" s="26"/>
      <c r="E816" s="1"/>
      <c r="F816" s="1"/>
      <c r="G816" s="1"/>
      <c r="H816" s="11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3.2" x14ac:dyDescent="0.25">
      <c r="B817" s="1"/>
      <c r="C817" s="26"/>
      <c r="D817" s="26"/>
      <c r="E817" s="1"/>
      <c r="F817" s="1"/>
      <c r="G817" s="1"/>
      <c r="H817" s="11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3.2" x14ac:dyDescent="0.25">
      <c r="B818" s="1"/>
      <c r="C818" s="26"/>
      <c r="D818" s="26"/>
      <c r="E818" s="1"/>
      <c r="F818" s="1"/>
      <c r="G818" s="1"/>
      <c r="H818" s="11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3.2" x14ac:dyDescent="0.25">
      <c r="B819" s="1"/>
      <c r="C819" s="26"/>
      <c r="D819" s="26"/>
      <c r="E819" s="1"/>
      <c r="F819" s="1"/>
      <c r="G819" s="1"/>
      <c r="H819" s="11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3.2" x14ac:dyDescent="0.25">
      <c r="B820" s="1"/>
      <c r="C820" s="26"/>
      <c r="D820" s="26"/>
      <c r="E820" s="1"/>
      <c r="F820" s="1"/>
      <c r="G820" s="1"/>
      <c r="H820" s="11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3.2" x14ac:dyDescent="0.25">
      <c r="B821" s="1"/>
      <c r="C821" s="26"/>
      <c r="D821" s="26"/>
      <c r="E821" s="1"/>
      <c r="F821" s="1"/>
      <c r="G821" s="1"/>
      <c r="H821" s="11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3.2" x14ac:dyDescent="0.25">
      <c r="B822" s="1"/>
      <c r="C822" s="26"/>
      <c r="D822" s="26"/>
      <c r="E822" s="1"/>
      <c r="F822" s="1"/>
      <c r="G822" s="1"/>
      <c r="H822" s="11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3.2" x14ac:dyDescent="0.25">
      <c r="B823" s="1"/>
      <c r="C823" s="26"/>
      <c r="D823" s="26"/>
      <c r="E823" s="1"/>
      <c r="F823" s="1"/>
      <c r="G823" s="1"/>
      <c r="H823" s="11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3.2" x14ac:dyDescent="0.25">
      <c r="B824" s="1"/>
      <c r="C824" s="26"/>
      <c r="D824" s="26"/>
      <c r="E824" s="1"/>
      <c r="F824" s="1"/>
      <c r="G824" s="1"/>
      <c r="H824" s="11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3.2" x14ac:dyDescent="0.25">
      <c r="B825" s="1"/>
      <c r="C825" s="26"/>
      <c r="D825" s="26"/>
      <c r="E825" s="1"/>
      <c r="F825" s="1"/>
      <c r="G825" s="1"/>
      <c r="H825" s="11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3.2" x14ac:dyDescent="0.25">
      <c r="B826" s="1"/>
      <c r="C826" s="26"/>
      <c r="D826" s="26"/>
      <c r="E826" s="1"/>
      <c r="F826" s="1"/>
      <c r="G826" s="1"/>
      <c r="H826" s="11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3.2" x14ac:dyDescent="0.25">
      <c r="B827" s="1"/>
      <c r="C827" s="26"/>
      <c r="D827" s="26"/>
      <c r="E827" s="1"/>
      <c r="F827" s="1"/>
      <c r="G827" s="1"/>
      <c r="H827" s="11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3.2" x14ac:dyDescent="0.25">
      <c r="B828" s="1"/>
      <c r="C828" s="26"/>
      <c r="D828" s="26"/>
      <c r="E828" s="1"/>
      <c r="F828" s="1"/>
      <c r="G828" s="1"/>
      <c r="H828" s="11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3.2" x14ac:dyDescent="0.25">
      <c r="B829" s="1"/>
      <c r="C829" s="26"/>
      <c r="D829" s="26"/>
      <c r="E829" s="1"/>
      <c r="F829" s="1"/>
      <c r="G829" s="1"/>
      <c r="H829" s="11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3.2" x14ac:dyDescent="0.25">
      <c r="B830" s="1"/>
      <c r="C830" s="26"/>
      <c r="D830" s="26"/>
      <c r="E830" s="1"/>
      <c r="F830" s="1"/>
      <c r="G830" s="1"/>
      <c r="H830" s="11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3.2" x14ac:dyDescent="0.25">
      <c r="B831" s="1"/>
      <c r="C831" s="26"/>
      <c r="D831" s="26"/>
      <c r="E831" s="1"/>
      <c r="F831" s="1"/>
      <c r="G831" s="1"/>
      <c r="H831" s="11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3.2" x14ac:dyDescent="0.25">
      <c r="B832" s="1"/>
      <c r="C832" s="26"/>
      <c r="D832" s="26"/>
      <c r="E832" s="1"/>
      <c r="F832" s="1"/>
      <c r="G832" s="1"/>
      <c r="H832" s="11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3.2" x14ac:dyDescent="0.25">
      <c r="B833" s="1"/>
      <c r="C833" s="26"/>
      <c r="D833" s="26"/>
      <c r="E833" s="1"/>
      <c r="F833" s="1"/>
      <c r="G833" s="1"/>
      <c r="H833" s="11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3.2" x14ac:dyDescent="0.25">
      <c r="B834" s="1"/>
      <c r="C834" s="26"/>
      <c r="D834" s="26"/>
      <c r="E834" s="1"/>
      <c r="F834" s="1"/>
      <c r="G834" s="1"/>
      <c r="H834" s="11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3.2" x14ac:dyDescent="0.25">
      <c r="B835" s="1"/>
      <c r="C835" s="26"/>
      <c r="D835" s="26"/>
      <c r="E835" s="1"/>
      <c r="F835" s="1"/>
      <c r="G835" s="1"/>
      <c r="H835" s="11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3.2" x14ac:dyDescent="0.25">
      <c r="B836" s="1"/>
      <c r="C836" s="26"/>
      <c r="D836" s="26"/>
      <c r="E836" s="1"/>
      <c r="F836" s="1"/>
      <c r="G836" s="1"/>
      <c r="H836" s="11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3.2" x14ac:dyDescent="0.25">
      <c r="B837" s="1"/>
      <c r="C837" s="26"/>
      <c r="D837" s="26"/>
      <c r="E837" s="1"/>
      <c r="F837" s="1"/>
      <c r="G837" s="1"/>
      <c r="H837" s="11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3.2" x14ac:dyDescent="0.25">
      <c r="B838" s="1"/>
      <c r="C838" s="26"/>
      <c r="D838" s="26"/>
      <c r="E838" s="1"/>
      <c r="F838" s="1"/>
      <c r="G838" s="1"/>
      <c r="H838" s="11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3.2" x14ac:dyDescent="0.25">
      <c r="B839" s="1"/>
      <c r="C839" s="26"/>
      <c r="D839" s="26"/>
      <c r="E839" s="1"/>
      <c r="F839" s="1"/>
      <c r="G839" s="1"/>
      <c r="H839" s="11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3.2" x14ac:dyDescent="0.25">
      <c r="B840" s="1"/>
      <c r="C840" s="26"/>
      <c r="D840" s="26"/>
      <c r="E840" s="1"/>
      <c r="F840" s="1"/>
      <c r="G840" s="1"/>
      <c r="H840" s="11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3.2" x14ac:dyDescent="0.25">
      <c r="B841" s="1"/>
      <c r="C841" s="26"/>
      <c r="D841" s="26"/>
      <c r="E841" s="1"/>
      <c r="F841" s="1"/>
      <c r="G841" s="1"/>
      <c r="H841" s="11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3.2" x14ac:dyDescent="0.25">
      <c r="B842" s="1"/>
      <c r="C842" s="26"/>
      <c r="D842" s="26"/>
      <c r="E842" s="1"/>
      <c r="F842" s="1"/>
      <c r="G842" s="1"/>
      <c r="H842" s="11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3.2" x14ac:dyDescent="0.25">
      <c r="B843" s="1"/>
      <c r="C843" s="26"/>
      <c r="D843" s="26"/>
      <c r="E843" s="1"/>
      <c r="F843" s="1"/>
      <c r="G843" s="1"/>
      <c r="H843" s="11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3.2" x14ac:dyDescent="0.25">
      <c r="B844" s="1"/>
      <c r="C844" s="26"/>
      <c r="D844" s="26"/>
      <c r="E844" s="1"/>
      <c r="F844" s="1"/>
      <c r="G844" s="1"/>
      <c r="H844" s="11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3.2" x14ac:dyDescent="0.25">
      <c r="B845" s="1"/>
      <c r="C845" s="26"/>
      <c r="D845" s="26"/>
      <c r="E845" s="1"/>
      <c r="F845" s="1"/>
      <c r="G845" s="1"/>
      <c r="H845" s="11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3.2" x14ac:dyDescent="0.25">
      <c r="B846" s="1"/>
      <c r="C846" s="26"/>
      <c r="D846" s="26"/>
      <c r="E846" s="1"/>
      <c r="F846" s="1"/>
      <c r="G846" s="1"/>
      <c r="H846" s="11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3.2" x14ac:dyDescent="0.25">
      <c r="B847" s="1"/>
      <c r="C847" s="26"/>
      <c r="D847" s="26"/>
      <c r="E847" s="1"/>
      <c r="F847" s="1"/>
      <c r="G847" s="1"/>
      <c r="H847" s="11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3.2" x14ac:dyDescent="0.25">
      <c r="B848" s="1"/>
      <c r="C848" s="26"/>
      <c r="D848" s="26"/>
      <c r="E848" s="1"/>
      <c r="F848" s="1"/>
      <c r="G848" s="1"/>
      <c r="H848" s="11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3.2" x14ac:dyDescent="0.25">
      <c r="B849" s="1"/>
      <c r="C849" s="26"/>
      <c r="D849" s="26"/>
      <c r="E849" s="1"/>
      <c r="F849" s="1"/>
      <c r="G849" s="1"/>
      <c r="H849" s="11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3.2" x14ac:dyDescent="0.25">
      <c r="B850" s="1"/>
      <c r="C850" s="26"/>
      <c r="D850" s="26"/>
      <c r="E850" s="1"/>
      <c r="F850" s="1"/>
      <c r="G850" s="1"/>
      <c r="H850" s="11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3.2" x14ac:dyDescent="0.25">
      <c r="B851" s="1"/>
      <c r="C851" s="26"/>
      <c r="D851" s="26"/>
      <c r="E851" s="1"/>
      <c r="F851" s="1"/>
      <c r="G851" s="1"/>
      <c r="H851" s="11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3.2" x14ac:dyDescent="0.25">
      <c r="B852" s="1"/>
      <c r="C852" s="26"/>
      <c r="D852" s="26"/>
      <c r="E852" s="1"/>
      <c r="F852" s="1"/>
      <c r="G852" s="1"/>
      <c r="H852" s="11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3.2" x14ac:dyDescent="0.25">
      <c r="B853" s="1"/>
      <c r="C853" s="26"/>
      <c r="D853" s="26"/>
      <c r="E853" s="1"/>
      <c r="F853" s="1"/>
      <c r="G853" s="1"/>
      <c r="H853" s="11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3.2" x14ac:dyDescent="0.25">
      <c r="B854" s="1"/>
      <c r="C854" s="26"/>
      <c r="D854" s="26"/>
      <c r="E854" s="1"/>
      <c r="F854" s="1"/>
      <c r="G854" s="1"/>
      <c r="H854" s="11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3.2" x14ac:dyDescent="0.25">
      <c r="B855" s="1"/>
      <c r="C855" s="26"/>
      <c r="D855" s="26"/>
      <c r="E855" s="1"/>
      <c r="F855" s="1"/>
      <c r="G855" s="1"/>
      <c r="H855" s="11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3.2" x14ac:dyDescent="0.25">
      <c r="B856" s="1"/>
      <c r="C856" s="26"/>
      <c r="D856" s="26"/>
      <c r="E856" s="1"/>
      <c r="F856" s="1"/>
      <c r="G856" s="1"/>
      <c r="H856" s="11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3.2" x14ac:dyDescent="0.25">
      <c r="B857" s="1"/>
      <c r="C857" s="26"/>
      <c r="D857" s="26"/>
      <c r="E857" s="1"/>
      <c r="F857" s="1"/>
      <c r="G857" s="1"/>
      <c r="H857" s="11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3.2" x14ac:dyDescent="0.25">
      <c r="B858" s="1"/>
      <c r="C858" s="26"/>
      <c r="D858" s="26"/>
      <c r="E858" s="1"/>
      <c r="F858" s="1"/>
      <c r="G858" s="1"/>
      <c r="H858" s="11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3.2" x14ac:dyDescent="0.25">
      <c r="B859" s="1"/>
      <c r="C859" s="26"/>
      <c r="D859" s="26"/>
      <c r="E859" s="1"/>
      <c r="F859" s="1"/>
      <c r="G859" s="1"/>
      <c r="H859" s="11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3.2" x14ac:dyDescent="0.25">
      <c r="B860" s="1"/>
      <c r="C860" s="26"/>
      <c r="D860" s="26"/>
      <c r="E860" s="1"/>
      <c r="F860" s="1"/>
      <c r="G860" s="1"/>
      <c r="H860" s="11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3.2" x14ac:dyDescent="0.25">
      <c r="B861" s="1"/>
      <c r="C861" s="26"/>
      <c r="D861" s="26"/>
      <c r="E861" s="1"/>
      <c r="F861" s="1"/>
      <c r="G861" s="1"/>
      <c r="H861" s="11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3.2" x14ac:dyDescent="0.25">
      <c r="B862" s="1"/>
      <c r="C862" s="26"/>
      <c r="D862" s="26"/>
      <c r="E862" s="1"/>
      <c r="F862" s="1"/>
      <c r="G862" s="1"/>
      <c r="H862" s="11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3.2" x14ac:dyDescent="0.25">
      <c r="B863" s="1"/>
      <c r="C863" s="26"/>
      <c r="D863" s="26"/>
      <c r="E863" s="1"/>
      <c r="F863" s="1"/>
      <c r="G863" s="1"/>
      <c r="H863" s="11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3.2" x14ac:dyDescent="0.25">
      <c r="B864" s="1"/>
      <c r="C864" s="26"/>
      <c r="D864" s="26"/>
      <c r="E864" s="1"/>
      <c r="F864" s="1"/>
      <c r="G864" s="1"/>
      <c r="H864" s="11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3.2" x14ac:dyDescent="0.25">
      <c r="B865" s="1"/>
      <c r="C865" s="26"/>
      <c r="D865" s="26"/>
      <c r="E865" s="1"/>
      <c r="F865" s="1"/>
      <c r="G865" s="1"/>
      <c r="H865" s="11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3.2" x14ac:dyDescent="0.25">
      <c r="B866" s="1"/>
      <c r="C866" s="26"/>
      <c r="D866" s="26"/>
      <c r="E866" s="1"/>
      <c r="F866" s="1"/>
      <c r="G866" s="1"/>
      <c r="H866" s="11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3.2" x14ac:dyDescent="0.25">
      <c r="B867" s="1"/>
      <c r="C867" s="26"/>
      <c r="D867" s="26"/>
      <c r="E867" s="1"/>
      <c r="F867" s="1"/>
      <c r="G867" s="1"/>
      <c r="H867" s="11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3.2" x14ac:dyDescent="0.25">
      <c r="B868" s="1"/>
      <c r="C868" s="26"/>
      <c r="D868" s="26"/>
      <c r="E868" s="1"/>
      <c r="F868" s="1"/>
      <c r="G868" s="1"/>
      <c r="H868" s="11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3.2" x14ac:dyDescent="0.25">
      <c r="B869" s="1"/>
      <c r="C869" s="26"/>
      <c r="D869" s="26"/>
      <c r="E869" s="1"/>
      <c r="F869" s="1"/>
      <c r="G869" s="1"/>
      <c r="H869" s="11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3.2" x14ac:dyDescent="0.25">
      <c r="B870" s="1"/>
      <c r="C870" s="26"/>
      <c r="D870" s="26"/>
      <c r="E870" s="1"/>
      <c r="F870" s="1"/>
      <c r="G870" s="1"/>
      <c r="H870" s="11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3.2" x14ac:dyDescent="0.25">
      <c r="B871" s="1"/>
      <c r="C871" s="26"/>
      <c r="D871" s="26"/>
      <c r="E871" s="1"/>
      <c r="F871" s="1"/>
      <c r="G871" s="1"/>
      <c r="H871" s="11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3.2" x14ac:dyDescent="0.25">
      <c r="B872" s="1"/>
      <c r="C872" s="26"/>
      <c r="D872" s="26"/>
      <c r="E872" s="1"/>
      <c r="F872" s="1"/>
      <c r="G872" s="1"/>
      <c r="H872" s="11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3.2" x14ac:dyDescent="0.25">
      <c r="B873" s="1"/>
      <c r="C873" s="26"/>
      <c r="D873" s="26"/>
      <c r="E873" s="1"/>
      <c r="F873" s="1"/>
      <c r="G873" s="1"/>
      <c r="H873" s="11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3.2" x14ac:dyDescent="0.25">
      <c r="B874" s="1"/>
      <c r="C874" s="26"/>
      <c r="D874" s="26"/>
      <c r="E874" s="1"/>
      <c r="F874" s="1"/>
      <c r="G874" s="1"/>
      <c r="H874" s="11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3.2" x14ac:dyDescent="0.25">
      <c r="B875" s="1"/>
      <c r="C875" s="26"/>
      <c r="D875" s="26"/>
      <c r="E875" s="1"/>
      <c r="F875" s="1"/>
      <c r="G875" s="1"/>
      <c r="H875" s="11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3.2" x14ac:dyDescent="0.25">
      <c r="B876" s="1"/>
      <c r="C876" s="26"/>
      <c r="D876" s="26"/>
      <c r="E876" s="1"/>
      <c r="F876" s="1"/>
      <c r="G876" s="1"/>
      <c r="H876" s="11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3.2" x14ac:dyDescent="0.25">
      <c r="B877" s="1"/>
      <c r="C877" s="26"/>
      <c r="D877" s="26"/>
      <c r="E877" s="1"/>
      <c r="F877" s="1"/>
      <c r="G877" s="1"/>
      <c r="H877" s="11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3.2" x14ac:dyDescent="0.25">
      <c r="B878" s="1"/>
      <c r="C878" s="26"/>
      <c r="D878" s="26"/>
      <c r="E878" s="1"/>
      <c r="F878" s="1"/>
      <c r="G878" s="1"/>
      <c r="H878" s="11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3.2" x14ac:dyDescent="0.25">
      <c r="B879" s="1"/>
      <c r="C879" s="26"/>
      <c r="D879" s="26"/>
      <c r="E879" s="1"/>
      <c r="F879" s="1"/>
      <c r="G879" s="1"/>
      <c r="H879" s="11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3.2" x14ac:dyDescent="0.25">
      <c r="B880" s="1"/>
      <c r="C880" s="26"/>
      <c r="D880" s="26"/>
      <c r="E880" s="1"/>
      <c r="F880" s="1"/>
      <c r="G880" s="1"/>
      <c r="H880" s="11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3.2" x14ac:dyDescent="0.25">
      <c r="B881" s="1"/>
      <c r="C881" s="26"/>
      <c r="D881" s="26"/>
      <c r="E881" s="1"/>
      <c r="F881" s="1"/>
      <c r="G881" s="1"/>
      <c r="H881" s="11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3.2" x14ac:dyDescent="0.25">
      <c r="B882" s="1"/>
      <c r="C882" s="26"/>
      <c r="D882" s="26"/>
      <c r="E882" s="1"/>
      <c r="F882" s="1"/>
      <c r="G882" s="1"/>
      <c r="H882" s="11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3.2" x14ac:dyDescent="0.25">
      <c r="B883" s="1"/>
      <c r="C883" s="26"/>
      <c r="D883" s="26"/>
      <c r="E883" s="1"/>
      <c r="F883" s="1"/>
      <c r="G883" s="1"/>
      <c r="H883" s="11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3.2" x14ac:dyDescent="0.25">
      <c r="B884" s="1"/>
      <c r="C884" s="26"/>
      <c r="D884" s="26"/>
      <c r="E884" s="1"/>
      <c r="F884" s="1"/>
      <c r="G884" s="1"/>
      <c r="H884" s="11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3.2" x14ac:dyDescent="0.25">
      <c r="B885" s="1"/>
      <c r="C885" s="26"/>
      <c r="D885" s="26"/>
      <c r="E885" s="1"/>
      <c r="F885" s="1"/>
      <c r="G885" s="1"/>
      <c r="H885" s="11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3.2" x14ac:dyDescent="0.25">
      <c r="B886" s="1"/>
      <c r="C886" s="26"/>
      <c r="D886" s="26"/>
      <c r="E886" s="1"/>
      <c r="F886" s="1"/>
      <c r="G886" s="1"/>
      <c r="H886" s="11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3.2" x14ac:dyDescent="0.25">
      <c r="B887" s="1"/>
      <c r="C887" s="26"/>
      <c r="D887" s="26"/>
      <c r="E887" s="1"/>
      <c r="F887" s="1"/>
      <c r="G887" s="1"/>
      <c r="H887" s="11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3.2" x14ac:dyDescent="0.25">
      <c r="B888" s="1"/>
      <c r="C888" s="26"/>
      <c r="D888" s="26"/>
      <c r="E888" s="1"/>
      <c r="F888" s="1"/>
      <c r="G888" s="1"/>
      <c r="H888" s="11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3.2" x14ac:dyDescent="0.25">
      <c r="B889" s="1"/>
      <c r="C889" s="26"/>
      <c r="D889" s="26"/>
      <c r="E889" s="1"/>
      <c r="F889" s="1"/>
      <c r="G889" s="1"/>
      <c r="H889" s="11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3.2" x14ac:dyDescent="0.25">
      <c r="B890" s="1"/>
      <c r="C890" s="26"/>
      <c r="D890" s="26"/>
      <c r="E890" s="1"/>
      <c r="F890" s="1"/>
      <c r="G890" s="1"/>
      <c r="H890" s="11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3.2" x14ac:dyDescent="0.25">
      <c r="B891" s="1"/>
      <c r="C891" s="26"/>
      <c r="D891" s="26"/>
      <c r="E891" s="1"/>
      <c r="F891" s="1"/>
      <c r="G891" s="1"/>
      <c r="H891" s="11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3.2" x14ac:dyDescent="0.25">
      <c r="B892" s="1"/>
      <c r="C892" s="26"/>
      <c r="D892" s="26"/>
      <c r="E892" s="1"/>
      <c r="F892" s="1"/>
      <c r="G892" s="1"/>
      <c r="H892" s="11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3.2" x14ac:dyDescent="0.25">
      <c r="B893" s="1"/>
      <c r="C893" s="26"/>
      <c r="D893" s="26"/>
      <c r="E893" s="1"/>
      <c r="F893" s="1"/>
      <c r="G893" s="1"/>
      <c r="H893" s="11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3.2" x14ac:dyDescent="0.25">
      <c r="B894" s="1"/>
      <c r="C894" s="26"/>
      <c r="D894" s="26"/>
      <c r="E894" s="1"/>
      <c r="F894" s="1"/>
      <c r="G894" s="1"/>
      <c r="H894" s="11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3.2" x14ac:dyDescent="0.25">
      <c r="B895" s="1"/>
      <c r="C895" s="26"/>
      <c r="D895" s="26"/>
      <c r="E895" s="1"/>
      <c r="F895" s="1"/>
      <c r="G895" s="1"/>
      <c r="H895" s="11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3.2" x14ac:dyDescent="0.25">
      <c r="B896" s="1"/>
      <c r="C896" s="26"/>
      <c r="D896" s="26"/>
      <c r="E896" s="1"/>
      <c r="F896" s="1"/>
      <c r="G896" s="1"/>
      <c r="H896" s="11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3.2" x14ac:dyDescent="0.25">
      <c r="B897" s="1"/>
      <c r="C897" s="26"/>
      <c r="D897" s="26"/>
      <c r="E897" s="1"/>
      <c r="F897" s="1"/>
      <c r="G897" s="1"/>
      <c r="H897" s="11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3.2" x14ac:dyDescent="0.25">
      <c r="B898" s="1"/>
      <c r="C898" s="26"/>
      <c r="D898" s="26"/>
      <c r="E898" s="1"/>
      <c r="F898" s="1"/>
      <c r="G898" s="1"/>
      <c r="H898" s="11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3.2" x14ac:dyDescent="0.25">
      <c r="B899" s="1"/>
      <c r="C899" s="26"/>
      <c r="D899" s="26"/>
      <c r="E899" s="1"/>
      <c r="F899" s="1"/>
      <c r="G899" s="1"/>
      <c r="H899" s="11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3.2" x14ac:dyDescent="0.25">
      <c r="B900" s="1"/>
      <c r="C900" s="26"/>
      <c r="D900" s="26"/>
      <c r="E900" s="1"/>
      <c r="F900" s="1"/>
      <c r="G900" s="1"/>
      <c r="H900" s="11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3.2" x14ac:dyDescent="0.25">
      <c r="B901" s="1"/>
      <c r="C901" s="26"/>
      <c r="D901" s="26"/>
      <c r="E901" s="1"/>
      <c r="F901" s="1"/>
      <c r="G901" s="1"/>
      <c r="H901" s="11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3.2" x14ac:dyDescent="0.25">
      <c r="B902" s="1"/>
      <c r="C902" s="26"/>
      <c r="D902" s="26"/>
      <c r="E902" s="1"/>
      <c r="F902" s="1"/>
      <c r="G902" s="1"/>
      <c r="H902" s="11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3.2" x14ac:dyDescent="0.25">
      <c r="B903" s="1"/>
      <c r="C903" s="26"/>
      <c r="D903" s="26"/>
      <c r="E903" s="1"/>
      <c r="F903" s="1"/>
      <c r="G903" s="1"/>
      <c r="H903" s="11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3.2" x14ac:dyDescent="0.25">
      <c r="B904" s="1"/>
      <c r="C904" s="26"/>
      <c r="D904" s="26"/>
      <c r="E904" s="1"/>
      <c r="F904" s="1"/>
      <c r="G904" s="1"/>
      <c r="H904" s="11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3.2" x14ac:dyDescent="0.25">
      <c r="B905" s="1"/>
      <c r="C905" s="26"/>
      <c r="D905" s="26"/>
      <c r="E905" s="1"/>
      <c r="F905" s="1"/>
      <c r="G905" s="1"/>
      <c r="H905" s="11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3.2" x14ac:dyDescent="0.25">
      <c r="B906" s="1"/>
      <c r="C906" s="26"/>
      <c r="D906" s="26"/>
      <c r="E906" s="1"/>
      <c r="F906" s="1"/>
      <c r="G906" s="1"/>
      <c r="H906" s="11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3.2" x14ac:dyDescent="0.25">
      <c r="B907" s="1"/>
      <c r="C907" s="26"/>
      <c r="D907" s="26"/>
      <c r="E907" s="1"/>
      <c r="F907" s="1"/>
      <c r="G907" s="1"/>
      <c r="H907" s="11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3.2" x14ac:dyDescent="0.25">
      <c r="B908" s="1"/>
      <c r="C908" s="26"/>
      <c r="D908" s="26"/>
      <c r="E908" s="1"/>
      <c r="F908" s="1"/>
      <c r="G908" s="1"/>
      <c r="H908" s="11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3.2" x14ac:dyDescent="0.25">
      <c r="B909" s="1"/>
      <c r="C909" s="26"/>
      <c r="D909" s="26"/>
      <c r="E909" s="1"/>
      <c r="F909" s="1"/>
      <c r="G909" s="1"/>
      <c r="H909" s="11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3.2" x14ac:dyDescent="0.25">
      <c r="B910" s="1"/>
      <c r="C910" s="26"/>
      <c r="D910" s="26"/>
      <c r="E910" s="1"/>
      <c r="F910" s="1"/>
      <c r="G910" s="1"/>
      <c r="H910" s="11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3.2" x14ac:dyDescent="0.25">
      <c r="B911" s="1"/>
      <c r="C911" s="26"/>
      <c r="D911" s="26"/>
      <c r="E911" s="1"/>
      <c r="F911" s="1"/>
      <c r="G911" s="1"/>
      <c r="H911" s="11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3.2" x14ac:dyDescent="0.25">
      <c r="B912" s="1"/>
      <c r="C912" s="26"/>
      <c r="D912" s="26"/>
      <c r="E912" s="1"/>
      <c r="F912" s="1"/>
      <c r="G912" s="1"/>
      <c r="H912" s="11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3.2" x14ac:dyDescent="0.25">
      <c r="B913" s="1"/>
      <c r="C913" s="26"/>
      <c r="D913" s="26"/>
      <c r="E913" s="1"/>
      <c r="F913" s="1"/>
      <c r="G913" s="1"/>
      <c r="H913" s="11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3.2" x14ac:dyDescent="0.25">
      <c r="B914" s="1"/>
      <c r="C914" s="26"/>
      <c r="D914" s="26"/>
      <c r="E914" s="1"/>
      <c r="F914" s="1"/>
      <c r="G914" s="1"/>
      <c r="H914" s="11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3.2" x14ac:dyDescent="0.25">
      <c r="B915" s="1"/>
      <c r="C915" s="26"/>
      <c r="D915" s="26"/>
      <c r="E915" s="1"/>
      <c r="F915" s="1"/>
      <c r="G915" s="1"/>
      <c r="H915" s="11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3.2" x14ac:dyDescent="0.25">
      <c r="B916" s="1"/>
      <c r="C916" s="26"/>
      <c r="D916" s="26"/>
      <c r="E916" s="1"/>
      <c r="F916" s="1"/>
      <c r="G916" s="1"/>
      <c r="H916" s="11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3.2" x14ac:dyDescent="0.25">
      <c r="B917" s="1"/>
      <c r="C917" s="26"/>
      <c r="D917" s="26"/>
      <c r="E917" s="1"/>
      <c r="F917" s="1"/>
      <c r="G917" s="1"/>
      <c r="H917" s="11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3.2" x14ac:dyDescent="0.25">
      <c r="B918" s="1"/>
      <c r="C918" s="26"/>
      <c r="D918" s="26"/>
      <c r="E918" s="1"/>
      <c r="F918" s="1"/>
      <c r="G918" s="1"/>
      <c r="H918" s="11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3.2" x14ac:dyDescent="0.25">
      <c r="B919" s="1"/>
      <c r="C919" s="26"/>
      <c r="D919" s="26"/>
      <c r="E919" s="1"/>
      <c r="F919" s="1"/>
      <c r="G919" s="1"/>
      <c r="H919" s="11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3.2" x14ac:dyDescent="0.25">
      <c r="B920" s="1"/>
      <c r="C920" s="26"/>
      <c r="D920" s="26"/>
      <c r="E920" s="1"/>
      <c r="F920" s="1"/>
      <c r="G920" s="1"/>
      <c r="H920" s="11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3.2" x14ac:dyDescent="0.25">
      <c r="B921" s="1"/>
      <c r="C921" s="26"/>
      <c r="D921" s="26"/>
      <c r="E921" s="1"/>
      <c r="F921" s="1"/>
      <c r="G921" s="1"/>
      <c r="H921" s="11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3.2" x14ac:dyDescent="0.25">
      <c r="B922" s="1"/>
      <c r="C922" s="26"/>
      <c r="D922" s="26"/>
      <c r="E922" s="1"/>
      <c r="F922" s="1"/>
      <c r="G922" s="1"/>
      <c r="H922" s="11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3.2" x14ac:dyDescent="0.25">
      <c r="B923" s="1"/>
      <c r="C923" s="26"/>
      <c r="D923" s="26"/>
      <c r="E923" s="1"/>
      <c r="F923" s="1"/>
      <c r="G923" s="1"/>
      <c r="H923" s="11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3.2" x14ac:dyDescent="0.25">
      <c r="B924" s="1"/>
      <c r="C924" s="26"/>
      <c r="D924" s="26"/>
      <c r="E924" s="1"/>
      <c r="F924" s="1"/>
      <c r="G924" s="1"/>
      <c r="H924" s="11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3.2" x14ac:dyDescent="0.25">
      <c r="B925" s="1"/>
      <c r="C925" s="26"/>
      <c r="D925" s="26"/>
      <c r="E925" s="1"/>
      <c r="F925" s="1"/>
      <c r="G925" s="1"/>
      <c r="H925" s="11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3.2" x14ac:dyDescent="0.25">
      <c r="B926" s="1"/>
      <c r="C926" s="26"/>
      <c r="D926" s="26"/>
      <c r="E926" s="1"/>
      <c r="F926" s="1"/>
      <c r="G926" s="1"/>
      <c r="H926" s="11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3.2" x14ac:dyDescent="0.25">
      <c r="B927" s="1"/>
      <c r="C927" s="26"/>
      <c r="D927" s="26"/>
      <c r="E927" s="1"/>
      <c r="F927" s="1"/>
      <c r="G927" s="1"/>
      <c r="H927" s="11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3.2" x14ac:dyDescent="0.25">
      <c r="B928" s="1"/>
      <c r="C928" s="26"/>
      <c r="D928" s="26"/>
      <c r="E928" s="1"/>
      <c r="F928" s="1"/>
      <c r="G928" s="1"/>
      <c r="H928" s="11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3.2" x14ac:dyDescent="0.25">
      <c r="B929" s="1"/>
      <c r="C929" s="26"/>
      <c r="D929" s="26"/>
      <c r="E929" s="1"/>
      <c r="F929" s="1"/>
      <c r="G929" s="1"/>
      <c r="H929" s="11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3.2" x14ac:dyDescent="0.25">
      <c r="B930" s="1"/>
      <c r="C930" s="26"/>
      <c r="D930" s="26"/>
      <c r="E930" s="1"/>
      <c r="F930" s="1"/>
      <c r="G930" s="1"/>
      <c r="H930" s="11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3.2" x14ac:dyDescent="0.25">
      <c r="B931" s="1"/>
      <c r="C931" s="26"/>
      <c r="D931" s="26"/>
      <c r="E931" s="1"/>
      <c r="F931" s="1"/>
      <c r="G931" s="1"/>
      <c r="H931" s="11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3.2" x14ac:dyDescent="0.25">
      <c r="B932" s="1"/>
      <c r="C932" s="26"/>
      <c r="D932" s="26"/>
      <c r="E932" s="1"/>
      <c r="F932" s="1"/>
      <c r="G932" s="1"/>
      <c r="H932" s="11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3.2" x14ac:dyDescent="0.25">
      <c r="B933" s="1"/>
      <c r="C933" s="26"/>
      <c r="D933" s="26"/>
      <c r="E933" s="1"/>
      <c r="F933" s="1"/>
      <c r="G933" s="1"/>
      <c r="H933" s="11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3.2" x14ac:dyDescent="0.25">
      <c r="B934" s="1"/>
      <c r="C934" s="26"/>
      <c r="D934" s="26"/>
      <c r="E934" s="1"/>
      <c r="F934" s="1"/>
      <c r="G934" s="1"/>
      <c r="H934" s="11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3.2" x14ac:dyDescent="0.25">
      <c r="B935" s="1"/>
      <c r="C935" s="26"/>
      <c r="D935" s="26"/>
      <c r="E935" s="1"/>
      <c r="F935" s="1"/>
      <c r="G935" s="1"/>
      <c r="H935" s="11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3.2" x14ac:dyDescent="0.25">
      <c r="B936" s="1"/>
      <c r="C936" s="26"/>
      <c r="D936" s="26"/>
      <c r="E936" s="1"/>
      <c r="F936" s="1"/>
      <c r="G936" s="1"/>
      <c r="H936" s="11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3.2" x14ac:dyDescent="0.25">
      <c r="B937" s="1"/>
      <c r="C937" s="26"/>
      <c r="D937" s="26"/>
      <c r="E937" s="1"/>
      <c r="F937" s="1"/>
      <c r="G937" s="1"/>
      <c r="H937" s="11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3.2" x14ac:dyDescent="0.25">
      <c r="B938" s="1"/>
      <c r="C938" s="26"/>
      <c r="D938" s="26"/>
      <c r="E938" s="1"/>
      <c r="F938" s="1"/>
      <c r="G938" s="1"/>
      <c r="H938" s="11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3.2" x14ac:dyDescent="0.25">
      <c r="B939" s="1"/>
      <c r="C939" s="26"/>
      <c r="D939" s="26"/>
      <c r="E939" s="1"/>
      <c r="F939" s="1"/>
      <c r="G939" s="1"/>
      <c r="H939" s="11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3.2" x14ac:dyDescent="0.25">
      <c r="B940" s="1"/>
      <c r="C940" s="26"/>
      <c r="D940" s="26"/>
      <c r="E940" s="1"/>
      <c r="F940" s="1"/>
      <c r="G940" s="1"/>
      <c r="H940" s="11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3.2" x14ac:dyDescent="0.25">
      <c r="B941" s="1"/>
      <c r="C941" s="26"/>
      <c r="D941" s="26"/>
      <c r="E941" s="1"/>
      <c r="F941" s="1"/>
      <c r="G941" s="1"/>
      <c r="H941" s="11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3.2" x14ac:dyDescent="0.25">
      <c r="B942" s="1"/>
      <c r="C942" s="26"/>
      <c r="D942" s="26"/>
      <c r="E942" s="1"/>
      <c r="F942" s="1"/>
      <c r="G942" s="1"/>
      <c r="H942" s="11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3.2" x14ac:dyDescent="0.25">
      <c r="B943" s="1"/>
      <c r="C943" s="26"/>
      <c r="D943" s="26"/>
      <c r="E943" s="1"/>
      <c r="F943" s="1"/>
      <c r="G943" s="1"/>
      <c r="H943" s="11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3.2" x14ac:dyDescent="0.25">
      <c r="B944" s="1"/>
      <c r="C944" s="26"/>
      <c r="D944" s="26"/>
      <c r="E944" s="1"/>
      <c r="F944" s="1"/>
      <c r="G944" s="1"/>
      <c r="H944" s="11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3.2" x14ac:dyDescent="0.25">
      <c r="B945" s="1"/>
      <c r="C945" s="26"/>
      <c r="D945" s="26"/>
      <c r="E945" s="1"/>
      <c r="F945" s="1"/>
      <c r="G945" s="1"/>
      <c r="H945" s="11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3.2" x14ac:dyDescent="0.25">
      <c r="B946" s="1"/>
      <c r="C946" s="26"/>
      <c r="D946" s="26"/>
      <c r="E946" s="1"/>
      <c r="F946" s="1"/>
      <c r="G946" s="1"/>
      <c r="H946" s="11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3.2" x14ac:dyDescent="0.25">
      <c r="B947" s="1"/>
      <c r="C947" s="26"/>
      <c r="D947" s="26"/>
      <c r="E947" s="1"/>
      <c r="F947" s="1"/>
      <c r="G947" s="1"/>
      <c r="H947" s="11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3.2" x14ac:dyDescent="0.25">
      <c r="B948" s="1"/>
      <c r="C948" s="26"/>
      <c r="D948" s="26"/>
      <c r="E948" s="1"/>
      <c r="F948" s="1"/>
      <c r="G948" s="1"/>
      <c r="H948" s="11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3.2" x14ac:dyDescent="0.25">
      <c r="B949" s="1"/>
      <c r="C949" s="26"/>
      <c r="D949" s="26"/>
      <c r="E949" s="1"/>
      <c r="F949" s="1"/>
      <c r="G949" s="1"/>
      <c r="H949" s="11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3.2" x14ac:dyDescent="0.25">
      <c r="B950" s="1"/>
      <c r="C950" s="26"/>
      <c r="D950" s="26"/>
      <c r="E950" s="1"/>
      <c r="F950" s="1"/>
      <c r="G950" s="1"/>
      <c r="H950" s="11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3.2" x14ac:dyDescent="0.25">
      <c r="B951" s="1"/>
      <c r="C951" s="26"/>
      <c r="D951" s="26"/>
      <c r="E951" s="1"/>
      <c r="F951" s="1"/>
      <c r="G951" s="1"/>
      <c r="H951" s="11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3.2" x14ac:dyDescent="0.25">
      <c r="B952" s="1"/>
      <c r="C952" s="26"/>
      <c r="D952" s="26"/>
      <c r="E952" s="1"/>
      <c r="F952" s="1"/>
      <c r="G952" s="1"/>
      <c r="H952" s="11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3.2" x14ac:dyDescent="0.25">
      <c r="B953" s="1"/>
      <c r="C953" s="26"/>
      <c r="D953" s="26"/>
      <c r="E953" s="1"/>
      <c r="F953" s="1"/>
      <c r="G953" s="1"/>
      <c r="H953" s="11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3.2" x14ac:dyDescent="0.25">
      <c r="B954" s="1"/>
      <c r="C954" s="26"/>
      <c r="D954" s="26"/>
      <c r="E954" s="1"/>
      <c r="F954" s="1"/>
      <c r="G954" s="1"/>
      <c r="H954" s="11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3.2" x14ac:dyDescent="0.25">
      <c r="B955" s="1"/>
      <c r="C955" s="26"/>
      <c r="D955" s="26"/>
      <c r="E955" s="1"/>
      <c r="F955" s="1"/>
      <c r="G955" s="1"/>
      <c r="H955" s="11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3.2" x14ac:dyDescent="0.25">
      <c r="B956" s="1"/>
      <c r="C956" s="26"/>
      <c r="D956" s="26"/>
      <c r="E956" s="1"/>
      <c r="F956" s="1"/>
      <c r="G956" s="1"/>
      <c r="H956" s="11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3.2" x14ac:dyDescent="0.25">
      <c r="B957" s="1"/>
      <c r="C957" s="26"/>
      <c r="D957" s="26"/>
      <c r="E957" s="1"/>
      <c r="F957" s="1"/>
      <c r="G957" s="1"/>
      <c r="H957" s="11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3.2" x14ac:dyDescent="0.25">
      <c r="B958" s="1"/>
      <c r="C958" s="26"/>
      <c r="D958" s="26"/>
      <c r="E958" s="1"/>
      <c r="F958" s="1"/>
      <c r="G958" s="1"/>
      <c r="H958" s="11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3.2" x14ac:dyDescent="0.25">
      <c r="B959" s="1"/>
      <c r="C959" s="26"/>
      <c r="D959" s="26"/>
      <c r="E959" s="1"/>
      <c r="F959" s="1"/>
      <c r="G959" s="1"/>
      <c r="H959" s="11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3.2" x14ac:dyDescent="0.25">
      <c r="B960" s="1"/>
      <c r="C960" s="26"/>
      <c r="D960" s="26"/>
      <c r="E960" s="1"/>
      <c r="F960" s="1"/>
      <c r="G960" s="1"/>
      <c r="H960" s="11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3.2" x14ac:dyDescent="0.25">
      <c r="B961" s="1"/>
      <c r="C961" s="26"/>
      <c r="D961" s="26"/>
      <c r="E961" s="1"/>
      <c r="F961" s="1"/>
      <c r="G961" s="1"/>
      <c r="H961" s="11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3.2" x14ac:dyDescent="0.25">
      <c r="B962" s="1"/>
      <c r="C962" s="26"/>
      <c r="D962" s="26"/>
      <c r="E962" s="1"/>
      <c r="F962" s="1"/>
      <c r="G962" s="1"/>
      <c r="H962" s="11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3.2" x14ac:dyDescent="0.25">
      <c r="B963" s="1"/>
      <c r="C963" s="26"/>
      <c r="D963" s="26"/>
      <c r="E963" s="1"/>
      <c r="F963" s="1"/>
      <c r="G963" s="1"/>
      <c r="H963" s="11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3.2" x14ac:dyDescent="0.25">
      <c r="B964" s="1"/>
      <c r="C964" s="26"/>
      <c r="D964" s="26"/>
      <c r="E964" s="1"/>
      <c r="F964" s="1"/>
      <c r="G964" s="1"/>
      <c r="H964" s="11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3.2" x14ac:dyDescent="0.25">
      <c r="B965" s="1"/>
      <c r="C965" s="26"/>
      <c r="D965" s="26"/>
      <c r="E965" s="1"/>
      <c r="F965" s="1"/>
      <c r="G965" s="1"/>
      <c r="H965" s="11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3.2" x14ac:dyDescent="0.25">
      <c r="B966" s="1"/>
      <c r="C966" s="26"/>
      <c r="D966" s="26"/>
      <c r="E966" s="1"/>
      <c r="F966" s="1"/>
      <c r="G966" s="1"/>
      <c r="H966" s="11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3.2" x14ac:dyDescent="0.25">
      <c r="B967" s="1"/>
      <c r="C967" s="26"/>
      <c r="D967" s="26"/>
      <c r="E967" s="1"/>
      <c r="F967" s="1"/>
      <c r="G967" s="1"/>
      <c r="H967" s="11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3.2" x14ac:dyDescent="0.25">
      <c r="B968" s="1"/>
      <c r="C968" s="26"/>
      <c r="D968" s="26"/>
      <c r="E968" s="1"/>
      <c r="F968" s="1"/>
      <c r="G968" s="1"/>
      <c r="H968" s="11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3.2" x14ac:dyDescent="0.25">
      <c r="B969" s="1"/>
      <c r="C969" s="26"/>
      <c r="D969" s="26"/>
      <c r="E969" s="1"/>
      <c r="F969" s="1"/>
      <c r="G969" s="1"/>
      <c r="H969" s="11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3.2" x14ac:dyDescent="0.25">
      <c r="B970" s="1"/>
      <c r="C970" s="26"/>
      <c r="D970" s="26"/>
      <c r="E970" s="1"/>
      <c r="F970" s="1"/>
      <c r="G970" s="1"/>
      <c r="H970" s="11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3.2" x14ac:dyDescent="0.25">
      <c r="B971" s="1"/>
      <c r="C971" s="26"/>
      <c r="D971" s="26"/>
      <c r="E971" s="1"/>
      <c r="F971" s="1"/>
      <c r="G971" s="1"/>
      <c r="H971" s="11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3.2" x14ac:dyDescent="0.25">
      <c r="B972" s="1"/>
      <c r="C972" s="26"/>
      <c r="D972" s="26"/>
      <c r="E972" s="1"/>
      <c r="F972" s="1"/>
      <c r="G972" s="1"/>
      <c r="H972" s="11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3.2" x14ac:dyDescent="0.25">
      <c r="B973" s="1"/>
      <c r="C973" s="26"/>
      <c r="D973" s="26"/>
      <c r="E973" s="1"/>
      <c r="F973" s="1"/>
      <c r="G973" s="1"/>
      <c r="H973" s="11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3.2" x14ac:dyDescent="0.25">
      <c r="B974" s="1"/>
      <c r="C974" s="26"/>
      <c r="D974" s="26"/>
      <c r="E974" s="1"/>
      <c r="F974" s="1"/>
      <c r="G974" s="1"/>
      <c r="H974" s="11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3.2" x14ac:dyDescent="0.25">
      <c r="B975" s="1"/>
      <c r="C975" s="26"/>
      <c r="D975" s="26"/>
      <c r="E975" s="1"/>
      <c r="F975" s="1"/>
      <c r="G975" s="1"/>
      <c r="H975" s="11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3.2" x14ac:dyDescent="0.25">
      <c r="B976" s="1"/>
      <c r="C976" s="26"/>
      <c r="D976" s="26"/>
      <c r="E976" s="1"/>
      <c r="F976" s="1"/>
      <c r="G976" s="1"/>
      <c r="H976" s="11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3.2" x14ac:dyDescent="0.25">
      <c r="B977" s="1"/>
      <c r="C977" s="26"/>
      <c r="D977" s="26"/>
      <c r="E977" s="1"/>
      <c r="F977" s="1"/>
      <c r="G977" s="1"/>
      <c r="H977" s="11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3.2" x14ac:dyDescent="0.25">
      <c r="B978" s="1"/>
      <c r="C978" s="26"/>
      <c r="D978" s="26"/>
      <c r="E978" s="1"/>
      <c r="F978" s="1"/>
      <c r="G978" s="1"/>
      <c r="H978" s="11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3.2" x14ac:dyDescent="0.25">
      <c r="B979" s="1"/>
      <c r="C979" s="26"/>
      <c r="D979" s="26"/>
      <c r="E979" s="1"/>
      <c r="F979" s="1"/>
      <c r="G979" s="1"/>
      <c r="H979" s="11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3.2" x14ac:dyDescent="0.25">
      <c r="B980" s="1"/>
      <c r="C980" s="26"/>
      <c r="D980" s="26"/>
      <c r="E980" s="1"/>
      <c r="F980" s="1"/>
      <c r="G980" s="1"/>
      <c r="H980" s="11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3.2" x14ac:dyDescent="0.25">
      <c r="B981" s="1"/>
      <c r="C981" s="26"/>
      <c r="D981" s="26"/>
      <c r="E981" s="1"/>
      <c r="F981" s="1"/>
      <c r="G981" s="1"/>
      <c r="H981" s="11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3.2" x14ac:dyDescent="0.25">
      <c r="B982" s="1"/>
      <c r="C982" s="26"/>
      <c r="D982" s="26"/>
      <c r="E982" s="1"/>
      <c r="F982" s="1"/>
      <c r="G982" s="1"/>
      <c r="H982" s="11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3.2" x14ac:dyDescent="0.25">
      <c r="B983" s="1"/>
      <c r="C983" s="26"/>
      <c r="D983" s="26"/>
      <c r="E983" s="1"/>
      <c r="F983" s="1"/>
      <c r="G983" s="1"/>
      <c r="H983" s="11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3.2" x14ac:dyDescent="0.25">
      <c r="B984" s="1"/>
      <c r="C984" s="26"/>
      <c r="D984" s="26"/>
      <c r="E984" s="1"/>
      <c r="F984" s="1"/>
      <c r="G984" s="1"/>
      <c r="H984" s="11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3.2" x14ac:dyDescent="0.25">
      <c r="B985" s="1"/>
      <c r="C985" s="26"/>
      <c r="D985" s="26"/>
      <c r="E985" s="1"/>
      <c r="F985" s="1"/>
      <c r="G985" s="1"/>
      <c r="H985" s="11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3.2" x14ac:dyDescent="0.25">
      <c r="B986" s="1"/>
      <c r="C986" s="26"/>
      <c r="D986" s="26"/>
      <c r="E986" s="1"/>
      <c r="F986" s="1"/>
      <c r="G986" s="1"/>
      <c r="H986" s="11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3.2" x14ac:dyDescent="0.25">
      <c r="B987" s="1"/>
      <c r="C987" s="26"/>
      <c r="D987" s="26"/>
      <c r="E987" s="1"/>
      <c r="F987" s="1"/>
      <c r="G987" s="1"/>
      <c r="H987" s="11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3.2" x14ac:dyDescent="0.25">
      <c r="B988" s="1"/>
      <c r="C988" s="26"/>
      <c r="D988" s="26"/>
      <c r="E988" s="1"/>
      <c r="F988" s="1"/>
      <c r="G988" s="1"/>
      <c r="H988" s="11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3.2" x14ac:dyDescent="0.25">
      <c r="B989" s="1"/>
      <c r="C989" s="26"/>
      <c r="D989" s="26"/>
      <c r="E989" s="1"/>
      <c r="F989" s="1"/>
      <c r="G989" s="1"/>
      <c r="H989" s="11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3.2" x14ac:dyDescent="0.25">
      <c r="B990" s="1"/>
      <c r="C990" s="26"/>
      <c r="D990" s="26"/>
      <c r="E990" s="1"/>
      <c r="F990" s="1"/>
      <c r="G990" s="1"/>
      <c r="H990" s="11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3.2" x14ac:dyDescent="0.25">
      <c r="B991" s="1"/>
      <c r="C991" s="26"/>
      <c r="D991" s="26"/>
      <c r="E991" s="1"/>
      <c r="F991" s="1"/>
      <c r="G991" s="1"/>
      <c r="H991" s="11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ht="13.2" x14ac:dyDescent="0.25">
      <c r="B992" s="1"/>
      <c r="C992" s="26"/>
      <c r="D992" s="26"/>
      <c r="E992" s="1"/>
      <c r="F992" s="1"/>
      <c r="G992" s="1"/>
      <c r="H992" s="11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ht="13.2" x14ac:dyDescent="0.25">
      <c r="B993" s="1"/>
      <c r="C993" s="26"/>
      <c r="D993" s="26"/>
      <c r="E993" s="1"/>
      <c r="F993" s="1"/>
      <c r="G993" s="1"/>
      <c r="H993" s="11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ht="13.2" x14ac:dyDescent="0.25">
      <c r="B994" s="1"/>
      <c r="C994" s="26"/>
      <c r="D994" s="26"/>
      <c r="E994" s="1"/>
      <c r="F994" s="1"/>
      <c r="G994" s="1"/>
      <c r="H994" s="11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ht="13.2" x14ac:dyDescent="0.25">
      <c r="B995" s="1"/>
      <c r="C995" s="26"/>
      <c r="D995" s="26"/>
      <c r="E995" s="1"/>
      <c r="F995" s="1"/>
      <c r="G995" s="1"/>
      <c r="H995" s="11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ht="13.2" x14ac:dyDescent="0.25">
      <c r="B996" s="1"/>
      <c r="C996" s="26"/>
      <c r="D996" s="26"/>
      <c r="E996" s="1"/>
      <c r="F996" s="1"/>
      <c r="G996" s="1"/>
      <c r="H996" s="11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ht="13.2" x14ac:dyDescent="0.25">
      <c r="B997" s="1"/>
      <c r="C997" s="26"/>
      <c r="D997" s="26"/>
      <c r="E997" s="1"/>
      <c r="F997" s="1"/>
      <c r="G997" s="1"/>
      <c r="H997" s="11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ht="13.2" x14ac:dyDescent="0.25">
      <c r="B998" s="1"/>
      <c r="C998" s="26"/>
      <c r="D998" s="26"/>
      <c r="E998" s="1"/>
      <c r="F998" s="1"/>
      <c r="G998" s="1"/>
      <c r="H998" s="11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</sheetData>
  <autoFilter ref="B3:H64" xr:uid="{00000000-0001-0000-0100-000000000000}"/>
  <mergeCells count="20">
    <mergeCell ref="R28:X28"/>
    <mergeCell ref="Y34:Y35"/>
    <mergeCell ref="Y36:Y37"/>
    <mergeCell ref="Y38:Y40"/>
    <mergeCell ref="Y41:Y42"/>
    <mergeCell ref="Y30:Y31"/>
    <mergeCell ref="Y32:Y33"/>
    <mergeCell ref="Q41:Q42"/>
    <mergeCell ref="Q30:Q31"/>
    <mergeCell ref="Q32:Q33"/>
    <mergeCell ref="Q34:Q35"/>
    <mergeCell ref="Q36:Q37"/>
    <mergeCell ref="Q38:Q40"/>
    <mergeCell ref="J131:J138"/>
    <mergeCell ref="J118:J125"/>
    <mergeCell ref="J68:J75"/>
    <mergeCell ref="J78:J85"/>
    <mergeCell ref="J88:J95"/>
    <mergeCell ref="J98:J105"/>
    <mergeCell ref="J108:J115"/>
  </mergeCells>
  <phoneticPr fontId="18" type="noConversion"/>
  <conditionalFormatting sqref="C4:C13">
    <cfRule type="cellIs" dxfId="331" priority="292" stopIfTrue="1" operator="equal">
      <formula>"Builder"</formula>
    </cfRule>
    <cfRule type="cellIs" dxfId="330" priority="293" stopIfTrue="1" operator="equal">
      <formula>"Agrarian"</formula>
    </cfRule>
    <cfRule type="cellIs" dxfId="329" priority="294" stopIfTrue="1" operator="equal">
      <formula>"Expansionist"</formula>
    </cfRule>
    <cfRule type="cellIs" dxfId="328" priority="295" stopIfTrue="1" operator="equal">
      <formula>"Militarist"</formula>
    </cfRule>
    <cfRule type="cellIs" dxfId="327" priority="296" stopIfTrue="1" operator="equal">
      <formula>"Aesthete"</formula>
    </cfRule>
    <cfRule type="cellIs" dxfId="326" priority="297" stopIfTrue="1" operator="equal">
      <formula>"Merchant"</formula>
    </cfRule>
    <cfRule type="cellIs" dxfId="325" priority="298" stopIfTrue="1" operator="equal">
      <formula>"Scientist"</formula>
    </cfRule>
  </conditionalFormatting>
  <conditionalFormatting sqref="C14:C23">
    <cfRule type="cellIs" dxfId="324" priority="271" stopIfTrue="1" operator="equal">
      <formula>"Builder"</formula>
    </cfRule>
    <cfRule type="cellIs" dxfId="323" priority="272" stopIfTrue="1" operator="equal">
      <formula>"Agrarian"</formula>
    </cfRule>
    <cfRule type="cellIs" dxfId="322" priority="273" stopIfTrue="1" operator="equal">
      <formula>"Expansionist"</formula>
    </cfRule>
    <cfRule type="cellIs" dxfId="321" priority="274" stopIfTrue="1" operator="equal">
      <formula>"Militarist"</formula>
    </cfRule>
    <cfRule type="cellIs" dxfId="320" priority="275" stopIfTrue="1" operator="equal">
      <formula>"Aesthete"</formula>
    </cfRule>
    <cfRule type="cellIs" dxfId="319" priority="276" stopIfTrue="1" operator="equal">
      <formula>"Merchant"</formula>
    </cfRule>
    <cfRule type="cellIs" dxfId="318" priority="277" stopIfTrue="1" operator="equal">
      <formula>"Scientist"</formula>
    </cfRule>
  </conditionalFormatting>
  <conditionalFormatting sqref="C24:C33">
    <cfRule type="cellIs" dxfId="317" priority="264" stopIfTrue="1" operator="equal">
      <formula>"Builder"</formula>
    </cfRule>
    <cfRule type="cellIs" dxfId="316" priority="265" stopIfTrue="1" operator="equal">
      <formula>"Agrarian"</formula>
    </cfRule>
    <cfRule type="cellIs" dxfId="315" priority="266" stopIfTrue="1" operator="equal">
      <formula>"Expansionist"</formula>
    </cfRule>
    <cfRule type="cellIs" dxfId="314" priority="267" stopIfTrue="1" operator="equal">
      <formula>"Militarist"</formula>
    </cfRule>
    <cfRule type="cellIs" dxfId="313" priority="268" stopIfTrue="1" operator="equal">
      <formula>"Aesthete"</formula>
    </cfRule>
    <cfRule type="cellIs" dxfId="312" priority="269" stopIfTrue="1" operator="equal">
      <formula>"Merchant"</formula>
    </cfRule>
    <cfRule type="cellIs" dxfId="311" priority="270" stopIfTrue="1" operator="equal">
      <formula>"Scientist"</formula>
    </cfRule>
  </conditionalFormatting>
  <conditionalFormatting sqref="C34:C43">
    <cfRule type="cellIs" dxfId="310" priority="257" stopIfTrue="1" operator="equal">
      <formula>"Builder"</formula>
    </cfRule>
    <cfRule type="cellIs" dxfId="309" priority="258" stopIfTrue="1" operator="equal">
      <formula>"Agrarian"</formula>
    </cfRule>
    <cfRule type="cellIs" dxfId="308" priority="259" stopIfTrue="1" operator="equal">
      <formula>"Expansionist"</formula>
    </cfRule>
    <cfRule type="cellIs" dxfId="307" priority="260" stopIfTrue="1" operator="equal">
      <formula>"Militarist"</formula>
    </cfRule>
    <cfRule type="cellIs" dxfId="306" priority="261" stopIfTrue="1" operator="equal">
      <formula>"Aesthete"</formula>
    </cfRule>
    <cfRule type="cellIs" dxfId="305" priority="262" stopIfTrue="1" operator="equal">
      <formula>"Merchant"</formula>
    </cfRule>
    <cfRule type="cellIs" dxfId="304" priority="263" stopIfTrue="1" operator="equal">
      <formula>"Scientist"</formula>
    </cfRule>
  </conditionalFormatting>
  <conditionalFormatting sqref="C44:C53">
    <cfRule type="cellIs" dxfId="303" priority="250" stopIfTrue="1" operator="equal">
      <formula>"Builder"</formula>
    </cfRule>
    <cfRule type="cellIs" dxfId="302" priority="251" stopIfTrue="1" operator="equal">
      <formula>"Agrarian"</formula>
    </cfRule>
    <cfRule type="cellIs" dxfId="301" priority="252" stopIfTrue="1" operator="equal">
      <formula>"Expansionist"</formula>
    </cfRule>
    <cfRule type="cellIs" dxfId="300" priority="253" stopIfTrue="1" operator="equal">
      <formula>"Militarist"</formula>
    </cfRule>
    <cfRule type="cellIs" dxfId="299" priority="254" stopIfTrue="1" operator="equal">
      <formula>"Aesthete"</formula>
    </cfRule>
    <cfRule type="cellIs" dxfId="298" priority="255" stopIfTrue="1" operator="equal">
      <formula>"Merchant"</formula>
    </cfRule>
    <cfRule type="cellIs" dxfId="297" priority="256" stopIfTrue="1" operator="equal">
      <formula>"Scientist"</formula>
    </cfRule>
  </conditionalFormatting>
  <conditionalFormatting sqref="C54:C63">
    <cfRule type="cellIs" dxfId="296" priority="243" stopIfTrue="1" operator="equal">
      <formula>"Builder"</formula>
    </cfRule>
    <cfRule type="cellIs" dxfId="295" priority="244" stopIfTrue="1" operator="equal">
      <formula>"Agrarian"</formula>
    </cfRule>
    <cfRule type="cellIs" dxfId="294" priority="245" stopIfTrue="1" operator="equal">
      <formula>"Expansionist"</formula>
    </cfRule>
    <cfRule type="cellIs" dxfId="293" priority="246" stopIfTrue="1" operator="equal">
      <formula>"Militarist"</formula>
    </cfRule>
    <cfRule type="cellIs" dxfId="292" priority="247" stopIfTrue="1" operator="equal">
      <formula>"Aesthete"</formula>
    </cfRule>
    <cfRule type="cellIs" dxfId="291" priority="248" stopIfTrue="1" operator="equal">
      <formula>"Merchant"</formula>
    </cfRule>
    <cfRule type="cellIs" dxfId="290" priority="249" stopIfTrue="1" operator="equal">
      <formula>"Scientist"</formula>
    </cfRule>
  </conditionalFormatting>
  <conditionalFormatting sqref="H4:H63">
    <cfRule type="cellIs" dxfId="289" priority="241" operator="equal">
      <formula>0</formula>
    </cfRule>
    <cfRule type="cellIs" dxfId="288" priority="242" operator="greaterThan">
      <formula>0</formula>
    </cfRule>
  </conditionalFormatting>
  <conditionalFormatting sqref="K78:K84">
    <cfRule type="cellIs" dxfId="287" priority="183" stopIfTrue="1" operator="equal">
      <formula>"Builder"</formula>
    </cfRule>
    <cfRule type="cellIs" dxfId="286" priority="184" stopIfTrue="1" operator="equal">
      <formula>"Agrarian"</formula>
    </cfRule>
    <cfRule type="cellIs" dxfId="285" priority="185" stopIfTrue="1" operator="equal">
      <formula>"Expansionist"</formula>
    </cfRule>
    <cfRule type="cellIs" dxfId="284" priority="186" stopIfTrue="1" operator="equal">
      <formula>"Militarist"</formula>
    </cfRule>
    <cfRule type="cellIs" dxfId="283" priority="187" stopIfTrue="1" operator="equal">
      <formula>"Aesthete"</formula>
    </cfRule>
    <cfRule type="cellIs" dxfId="282" priority="188" stopIfTrue="1" operator="equal">
      <formula>"Merchant"</formula>
    </cfRule>
    <cfRule type="cellIs" dxfId="281" priority="189" stopIfTrue="1" operator="equal">
      <formula>"Scientist"</formula>
    </cfRule>
  </conditionalFormatting>
  <conditionalFormatting sqref="G68:G77">
    <cfRule type="cellIs" dxfId="280" priority="234" stopIfTrue="1" operator="equal">
      <formula>"Builder"</formula>
    </cfRule>
    <cfRule type="cellIs" dxfId="279" priority="235" stopIfTrue="1" operator="equal">
      <formula>"Agrarian"</formula>
    </cfRule>
    <cfRule type="cellIs" dxfId="278" priority="236" stopIfTrue="1" operator="equal">
      <formula>"Expansionist"</formula>
    </cfRule>
    <cfRule type="cellIs" dxfId="277" priority="237" stopIfTrue="1" operator="equal">
      <formula>"Militarist"</formula>
    </cfRule>
    <cfRule type="cellIs" dxfId="276" priority="238" stopIfTrue="1" operator="equal">
      <formula>"Aesthete"</formula>
    </cfRule>
    <cfRule type="cellIs" dxfId="275" priority="239" stopIfTrue="1" operator="equal">
      <formula>"Merchant"</formula>
    </cfRule>
    <cfRule type="cellIs" dxfId="274" priority="240" stopIfTrue="1" operator="equal">
      <formula>"Scientist"</formula>
    </cfRule>
  </conditionalFormatting>
  <conditionalFormatting sqref="G78:G87">
    <cfRule type="cellIs" dxfId="273" priority="227" stopIfTrue="1" operator="equal">
      <formula>"Builder"</formula>
    </cfRule>
    <cfRule type="cellIs" dxfId="272" priority="228" stopIfTrue="1" operator="equal">
      <formula>"Agrarian"</formula>
    </cfRule>
    <cfRule type="cellIs" dxfId="271" priority="229" stopIfTrue="1" operator="equal">
      <formula>"Expansionist"</formula>
    </cfRule>
    <cfRule type="cellIs" dxfId="270" priority="230" stopIfTrue="1" operator="equal">
      <formula>"Militarist"</formula>
    </cfRule>
    <cfRule type="cellIs" dxfId="269" priority="231" stopIfTrue="1" operator="equal">
      <formula>"Aesthete"</formula>
    </cfRule>
    <cfRule type="cellIs" dxfId="268" priority="232" stopIfTrue="1" operator="equal">
      <formula>"Merchant"</formula>
    </cfRule>
    <cfRule type="cellIs" dxfId="267" priority="233" stopIfTrue="1" operator="equal">
      <formula>"Scientist"</formula>
    </cfRule>
  </conditionalFormatting>
  <conditionalFormatting sqref="G88:G97">
    <cfRule type="cellIs" dxfId="266" priority="220" stopIfTrue="1" operator="equal">
      <formula>"Builder"</formula>
    </cfRule>
    <cfRule type="cellIs" dxfId="265" priority="221" stopIfTrue="1" operator="equal">
      <formula>"Agrarian"</formula>
    </cfRule>
    <cfRule type="cellIs" dxfId="264" priority="222" stopIfTrue="1" operator="equal">
      <formula>"Expansionist"</formula>
    </cfRule>
    <cfRule type="cellIs" dxfId="263" priority="223" stopIfTrue="1" operator="equal">
      <formula>"Militarist"</formula>
    </cfRule>
    <cfRule type="cellIs" dxfId="262" priority="224" stopIfTrue="1" operator="equal">
      <formula>"Aesthete"</formula>
    </cfRule>
    <cfRule type="cellIs" dxfId="261" priority="225" stopIfTrue="1" operator="equal">
      <formula>"Merchant"</formula>
    </cfRule>
    <cfRule type="cellIs" dxfId="260" priority="226" stopIfTrue="1" operator="equal">
      <formula>"Scientist"</formula>
    </cfRule>
  </conditionalFormatting>
  <conditionalFormatting sqref="G98:G107">
    <cfRule type="cellIs" dxfId="259" priority="213" stopIfTrue="1" operator="equal">
      <formula>"Builder"</formula>
    </cfRule>
    <cfRule type="cellIs" dxfId="258" priority="214" stopIfTrue="1" operator="equal">
      <formula>"Agrarian"</formula>
    </cfRule>
    <cfRule type="cellIs" dxfId="257" priority="215" stopIfTrue="1" operator="equal">
      <formula>"Expansionist"</formula>
    </cfRule>
    <cfRule type="cellIs" dxfId="256" priority="216" stopIfTrue="1" operator="equal">
      <formula>"Militarist"</formula>
    </cfRule>
    <cfRule type="cellIs" dxfId="255" priority="217" stopIfTrue="1" operator="equal">
      <formula>"Aesthete"</formula>
    </cfRule>
    <cfRule type="cellIs" dxfId="254" priority="218" stopIfTrue="1" operator="equal">
      <formula>"Merchant"</formula>
    </cfRule>
    <cfRule type="cellIs" dxfId="253" priority="219" stopIfTrue="1" operator="equal">
      <formula>"Scientist"</formula>
    </cfRule>
  </conditionalFormatting>
  <conditionalFormatting sqref="G108:G117">
    <cfRule type="cellIs" dxfId="252" priority="206" stopIfTrue="1" operator="equal">
      <formula>"Builder"</formula>
    </cfRule>
    <cfRule type="cellIs" dxfId="251" priority="207" stopIfTrue="1" operator="equal">
      <formula>"Agrarian"</formula>
    </cfRule>
    <cfRule type="cellIs" dxfId="250" priority="208" stopIfTrue="1" operator="equal">
      <formula>"Expansionist"</formula>
    </cfRule>
    <cfRule type="cellIs" dxfId="249" priority="209" stopIfTrue="1" operator="equal">
      <formula>"Militarist"</formula>
    </cfRule>
    <cfRule type="cellIs" dxfId="248" priority="210" stopIfTrue="1" operator="equal">
      <formula>"Aesthete"</formula>
    </cfRule>
    <cfRule type="cellIs" dxfId="247" priority="211" stopIfTrue="1" operator="equal">
      <formula>"Merchant"</formula>
    </cfRule>
    <cfRule type="cellIs" dxfId="246" priority="212" stopIfTrue="1" operator="equal">
      <formula>"Scientist"</formula>
    </cfRule>
  </conditionalFormatting>
  <conditionalFormatting sqref="G118:G127">
    <cfRule type="cellIs" dxfId="245" priority="199" stopIfTrue="1" operator="equal">
      <formula>"Builder"</formula>
    </cfRule>
    <cfRule type="cellIs" dxfId="244" priority="200" stopIfTrue="1" operator="equal">
      <formula>"Agrarian"</formula>
    </cfRule>
    <cfRule type="cellIs" dxfId="243" priority="201" stopIfTrue="1" operator="equal">
      <formula>"Expansionist"</formula>
    </cfRule>
    <cfRule type="cellIs" dxfId="242" priority="202" stopIfTrue="1" operator="equal">
      <formula>"Militarist"</formula>
    </cfRule>
    <cfRule type="cellIs" dxfId="241" priority="203" stopIfTrue="1" operator="equal">
      <formula>"Aesthete"</formula>
    </cfRule>
    <cfRule type="cellIs" dxfId="240" priority="204" stopIfTrue="1" operator="equal">
      <formula>"Merchant"</formula>
    </cfRule>
    <cfRule type="cellIs" dxfId="239" priority="205" stopIfTrue="1" operator="equal">
      <formula>"Scientist"</formula>
    </cfRule>
  </conditionalFormatting>
  <conditionalFormatting sqref="H68:H127">
    <cfRule type="cellIs" dxfId="238" priority="197" operator="equal">
      <formula>0</formula>
    </cfRule>
    <cfRule type="cellIs" dxfId="237" priority="198" operator="greaterThan">
      <formula>0</formula>
    </cfRule>
  </conditionalFormatting>
  <conditionalFormatting sqref="K68:K74">
    <cfRule type="cellIs" dxfId="236" priority="190" stopIfTrue="1" operator="equal">
      <formula>"Builder"</formula>
    </cfRule>
    <cfRule type="cellIs" dxfId="235" priority="191" stopIfTrue="1" operator="equal">
      <formula>"Agrarian"</formula>
    </cfRule>
    <cfRule type="cellIs" dxfId="234" priority="192" stopIfTrue="1" operator="equal">
      <formula>"Expansionist"</formula>
    </cfRule>
    <cfRule type="cellIs" dxfId="233" priority="193" stopIfTrue="1" operator="equal">
      <formula>"Militarist"</formula>
    </cfRule>
    <cfRule type="cellIs" dxfId="232" priority="194" stopIfTrue="1" operator="equal">
      <formula>"Aesthete"</formula>
    </cfRule>
    <cfRule type="cellIs" dxfId="231" priority="195" stopIfTrue="1" operator="equal">
      <formula>"Merchant"</formula>
    </cfRule>
    <cfRule type="cellIs" dxfId="230" priority="196" stopIfTrue="1" operator="equal">
      <formula>"Scientist"</formula>
    </cfRule>
  </conditionalFormatting>
  <conditionalFormatting sqref="K88:K94">
    <cfRule type="cellIs" dxfId="229" priority="176" stopIfTrue="1" operator="equal">
      <formula>"Builder"</formula>
    </cfRule>
    <cfRule type="cellIs" dxfId="228" priority="177" stopIfTrue="1" operator="equal">
      <formula>"Agrarian"</formula>
    </cfRule>
    <cfRule type="cellIs" dxfId="227" priority="178" stopIfTrue="1" operator="equal">
      <formula>"Expansionist"</formula>
    </cfRule>
    <cfRule type="cellIs" dxfId="226" priority="179" stopIfTrue="1" operator="equal">
      <formula>"Militarist"</formula>
    </cfRule>
    <cfRule type="cellIs" dxfId="225" priority="180" stopIfTrue="1" operator="equal">
      <formula>"Aesthete"</formula>
    </cfRule>
    <cfRule type="cellIs" dxfId="224" priority="181" stopIfTrue="1" operator="equal">
      <formula>"Merchant"</formula>
    </cfRule>
    <cfRule type="cellIs" dxfId="223" priority="182" stopIfTrue="1" operator="equal">
      <formula>"Scientist"</formula>
    </cfRule>
  </conditionalFormatting>
  <conditionalFormatting sqref="K98:K104">
    <cfRule type="cellIs" dxfId="222" priority="169" stopIfTrue="1" operator="equal">
      <formula>"Builder"</formula>
    </cfRule>
    <cfRule type="cellIs" dxfId="221" priority="170" stopIfTrue="1" operator="equal">
      <formula>"Agrarian"</formula>
    </cfRule>
    <cfRule type="cellIs" dxfId="220" priority="171" stopIfTrue="1" operator="equal">
      <formula>"Expansionist"</formula>
    </cfRule>
    <cfRule type="cellIs" dxfId="219" priority="172" stopIfTrue="1" operator="equal">
      <formula>"Militarist"</formula>
    </cfRule>
    <cfRule type="cellIs" dxfId="218" priority="173" stopIfTrue="1" operator="equal">
      <formula>"Aesthete"</formula>
    </cfRule>
    <cfRule type="cellIs" dxfId="217" priority="174" stopIfTrue="1" operator="equal">
      <formula>"Merchant"</formula>
    </cfRule>
    <cfRule type="cellIs" dxfId="216" priority="175" stopIfTrue="1" operator="equal">
      <formula>"Scientist"</formula>
    </cfRule>
  </conditionalFormatting>
  <conditionalFormatting sqref="K108:K114">
    <cfRule type="cellIs" dxfId="215" priority="162" stopIfTrue="1" operator="equal">
      <formula>"Builder"</formula>
    </cfRule>
    <cfRule type="cellIs" dxfId="214" priority="163" stopIfTrue="1" operator="equal">
      <formula>"Agrarian"</formula>
    </cfRule>
    <cfRule type="cellIs" dxfId="213" priority="164" stopIfTrue="1" operator="equal">
      <formula>"Expansionist"</formula>
    </cfRule>
    <cfRule type="cellIs" dxfId="212" priority="165" stopIfTrue="1" operator="equal">
      <formula>"Militarist"</formula>
    </cfRule>
    <cfRule type="cellIs" dxfId="211" priority="166" stopIfTrue="1" operator="equal">
      <formula>"Aesthete"</formula>
    </cfRule>
    <cfRule type="cellIs" dxfId="210" priority="167" stopIfTrue="1" operator="equal">
      <formula>"Merchant"</formula>
    </cfRule>
    <cfRule type="cellIs" dxfId="209" priority="168" stopIfTrue="1" operator="equal">
      <formula>"Scientist"</formula>
    </cfRule>
  </conditionalFormatting>
  <conditionalFormatting sqref="K118:K124">
    <cfRule type="cellIs" dxfId="208" priority="155" stopIfTrue="1" operator="equal">
      <formula>"Builder"</formula>
    </cfRule>
    <cfRule type="cellIs" dxfId="207" priority="156" stopIfTrue="1" operator="equal">
      <formula>"Agrarian"</formula>
    </cfRule>
    <cfRule type="cellIs" dxfId="206" priority="157" stopIfTrue="1" operator="equal">
      <formula>"Expansionist"</formula>
    </cfRule>
    <cfRule type="cellIs" dxfId="205" priority="158" stopIfTrue="1" operator="equal">
      <formula>"Militarist"</formula>
    </cfRule>
    <cfRule type="cellIs" dxfId="204" priority="159" stopIfTrue="1" operator="equal">
      <formula>"Aesthete"</formula>
    </cfRule>
    <cfRule type="cellIs" dxfId="203" priority="160" stopIfTrue="1" operator="equal">
      <formula>"Merchant"</formula>
    </cfRule>
    <cfRule type="cellIs" dxfId="202" priority="161" stopIfTrue="1" operator="equal">
      <formula>"Scientist"</formula>
    </cfRule>
  </conditionalFormatting>
  <conditionalFormatting sqref="K131:K137">
    <cfRule type="cellIs" dxfId="201" priority="148" stopIfTrue="1" operator="equal">
      <formula>"Builder"</formula>
    </cfRule>
    <cfRule type="cellIs" dxfId="200" priority="149" stopIfTrue="1" operator="equal">
      <formula>"Agrarian"</formula>
    </cfRule>
    <cfRule type="cellIs" dxfId="199" priority="150" stopIfTrue="1" operator="equal">
      <formula>"Expansionist"</formula>
    </cfRule>
    <cfRule type="cellIs" dxfId="198" priority="151" stopIfTrue="1" operator="equal">
      <formula>"Militarist"</formula>
    </cfRule>
    <cfRule type="cellIs" dxfId="197" priority="152" stopIfTrue="1" operator="equal">
      <formula>"Aesthete"</formula>
    </cfRule>
    <cfRule type="cellIs" dxfId="196" priority="153" stopIfTrue="1" operator="equal">
      <formula>"Merchant"</formula>
    </cfRule>
    <cfRule type="cellIs" dxfId="195" priority="154" stopIfTrue="1" operator="equal">
      <formula>"Scientist"</formula>
    </cfRule>
  </conditionalFormatting>
  <conditionalFormatting sqref="D4:D13">
    <cfRule type="cellIs" dxfId="194" priority="141" stopIfTrue="1" operator="equal">
      <formula>"Builder"</formula>
    </cfRule>
    <cfRule type="cellIs" dxfId="193" priority="142" stopIfTrue="1" operator="equal">
      <formula>"Agrarian"</formula>
    </cfRule>
    <cfRule type="cellIs" dxfId="192" priority="143" stopIfTrue="1" operator="equal">
      <formula>"Expansionist"</formula>
    </cfRule>
    <cfRule type="cellIs" dxfId="191" priority="144" stopIfTrue="1" operator="equal">
      <formula>"Militarist"</formula>
    </cfRule>
    <cfRule type="cellIs" dxfId="190" priority="145" stopIfTrue="1" operator="equal">
      <formula>"Aesthete"</formula>
    </cfRule>
    <cfRule type="cellIs" dxfId="189" priority="146" stopIfTrue="1" operator="equal">
      <formula>"Merchant"</formula>
    </cfRule>
    <cfRule type="cellIs" dxfId="188" priority="147" stopIfTrue="1" operator="equal">
      <formula>"Scientist"</formula>
    </cfRule>
  </conditionalFormatting>
  <conditionalFormatting sqref="D14:D23">
    <cfRule type="cellIs" dxfId="187" priority="134" stopIfTrue="1" operator="equal">
      <formula>"Builder"</formula>
    </cfRule>
    <cfRule type="cellIs" dxfId="186" priority="135" stopIfTrue="1" operator="equal">
      <formula>"Agrarian"</formula>
    </cfRule>
    <cfRule type="cellIs" dxfId="185" priority="136" stopIfTrue="1" operator="equal">
      <formula>"Expansionist"</formula>
    </cfRule>
    <cfRule type="cellIs" dxfId="184" priority="137" stopIfTrue="1" operator="equal">
      <formula>"Militarist"</formula>
    </cfRule>
    <cfRule type="cellIs" dxfId="183" priority="138" stopIfTrue="1" operator="equal">
      <formula>"Aesthete"</formula>
    </cfRule>
    <cfRule type="cellIs" dxfId="182" priority="139" stopIfTrue="1" operator="equal">
      <formula>"Merchant"</formula>
    </cfRule>
    <cfRule type="cellIs" dxfId="181" priority="140" stopIfTrue="1" operator="equal">
      <formula>"Scientist"</formula>
    </cfRule>
  </conditionalFormatting>
  <conditionalFormatting sqref="D24:D33">
    <cfRule type="cellIs" dxfId="180" priority="127" stopIfTrue="1" operator="equal">
      <formula>"Builder"</formula>
    </cfRule>
    <cfRule type="cellIs" dxfId="179" priority="128" stopIfTrue="1" operator="equal">
      <formula>"Agrarian"</formula>
    </cfRule>
    <cfRule type="cellIs" dxfId="178" priority="129" stopIfTrue="1" operator="equal">
      <formula>"Expansionist"</formula>
    </cfRule>
    <cfRule type="cellIs" dxfId="177" priority="130" stopIfTrue="1" operator="equal">
      <formula>"Militarist"</formula>
    </cfRule>
    <cfRule type="cellIs" dxfId="176" priority="131" stopIfTrue="1" operator="equal">
      <formula>"Aesthete"</formula>
    </cfRule>
    <cfRule type="cellIs" dxfId="175" priority="132" stopIfTrue="1" operator="equal">
      <formula>"Merchant"</formula>
    </cfRule>
    <cfRule type="cellIs" dxfId="174" priority="133" stopIfTrue="1" operator="equal">
      <formula>"Scientist"</formula>
    </cfRule>
  </conditionalFormatting>
  <conditionalFormatting sqref="D34:D43">
    <cfRule type="cellIs" dxfId="173" priority="120" stopIfTrue="1" operator="equal">
      <formula>"Builder"</formula>
    </cfRule>
    <cfRule type="cellIs" dxfId="172" priority="121" stopIfTrue="1" operator="equal">
      <formula>"Agrarian"</formula>
    </cfRule>
    <cfRule type="cellIs" dxfId="171" priority="122" stopIfTrue="1" operator="equal">
      <formula>"Expansionist"</formula>
    </cfRule>
    <cfRule type="cellIs" dxfId="170" priority="123" stopIfTrue="1" operator="equal">
      <formula>"Militarist"</formula>
    </cfRule>
    <cfRule type="cellIs" dxfId="169" priority="124" stopIfTrue="1" operator="equal">
      <formula>"Aesthete"</formula>
    </cfRule>
    <cfRule type="cellIs" dxfId="168" priority="125" stopIfTrue="1" operator="equal">
      <formula>"Merchant"</formula>
    </cfRule>
    <cfRule type="cellIs" dxfId="167" priority="126" stopIfTrue="1" operator="equal">
      <formula>"Scientist"</formula>
    </cfRule>
  </conditionalFormatting>
  <conditionalFormatting sqref="D44:D53">
    <cfRule type="cellIs" dxfId="166" priority="113" stopIfTrue="1" operator="equal">
      <formula>"Builder"</formula>
    </cfRule>
    <cfRule type="cellIs" dxfId="165" priority="114" stopIfTrue="1" operator="equal">
      <formula>"Agrarian"</formula>
    </cfRule>
    <cfRule type="cellIs" dxfId="164" priority="115" stopIfTrue="1" operator="equal">
      <formula>"Expansionist"</formula>
    </cfRule>
    <cfRule type="cellIs" dxfId="163" priority="116" stopIfTrue="1" operator="equal">
      <formula>"Militarist"</formula>
    </cfRule>
    <cfRule type="cellIs" dxfId="162" priority="117" stopIfTrue="1" operator="equal">
      <formula>"Aesthete"</formula>
    </cfRule>
    <cfRule type="cellIs" dxfId="161" priority="118" stopIfTrue="1" operator="equal">
      <formula>"Merchant"</formula>
    </cfRule>
    <cfRule type="cellIs" dxfId="160" priority="119" stopIfTrue="1" operator="equal">
      <formula>"Scientist"</formula>
    </cfRule>
  </conditionalFormatting>
  <conditionalFormatting sqref="D54:D63">
    <cfRule type="cellIs" dxfId="159" priority="106" stopIfTrue="1" operator="equal">
      <formula>"Builder"</formula>
    </cfRule>
    <cfRule type="cellIs" dxfId="158" priority="107" stopIfTrue="1" operator="equal">
      <formula>"Agrarian"</formula>
    </cfRule>
    <cfRule type="cellIs" dxfId="157" priority="108" stopIfTrue="1" operator="equal">
      <formula>"Expansionist"</formula>
    </cfRule>
    <cfRule type="cellIs" dxfId="156" priority="109" stopIfTrue="1" operator="equal">
      <formula>"Militarist"</formula>
    </cfRule>
    <cfRule type="cellIs" dxfId="155" priority="110" stopIfTrue="1" operator="equal">
      <formula>"Aesthete"</formula>
    </cfRule>
    <cfRule type="cellIs" dxfId="154" priority="111" stopIfTrue="1" operator="equal">
      <formula>"Merchant"</formula>
    </cfRule>
    <cfRule type="cellIs" dxfId="153" priority="112" stopIfTrue="1" operator="equal">
      <formula>"Scientist"</formula>
    </cfRule>
  </conditionalFormatting>
  <conditionalFormatting sqref="N14:N23">
    <cfRule type="cellIs" dxfId="152" priority="92" stopIfTrue="1" operator="equal">
      <formula>"Builder"</formula>
    </cfRule>
    <cfRule type="cellIs" dxfId="151" priority="93" stopIfTrue="1" operator="equal">
      <formula>"Agrarian"</formula>
    </cfRule>
    <cfRule type="cellIs" dxfId="150" priority="94" stopIfTrue="1" operator="equal">
      <formula>"Expansionist"</formula>
    </cfRule>
    <cfRule type="cellIs" dxfId="149" priority="95" stopIfTrue="1" operator="equal">
      <formula>"Militarist"</formula>
    </cfRule>
    <cfRule type="cellIs" dxfId="148" priority="96" stopIfTrue="1" operator="equal">
      <formula>"Aesthete"</formula>
    </cfRule>
    <cfRule type="cellIs" dxfId="147" priority="97" stopIfTrue="1" operator="equal">
      <formula>"Merchant"</formula>
    </cfRule>
    <cfRule type="cellIs" dxfId="146" priority="98" stopIfTrue="1" operator="equal">
      <formula>"Scientist"</formula>
    </cfRule>
  </conditionalFormatting>
  <conditionalFormatting sqref="N24:N33">
    <cfRule type="cellIs" dxfId="145" priority="85" stopIfTrue="1" operator="equal">
      <formula>"Builder"</formula>
    </cfRule>
    <cfRule type="cellIs" dxfId="144" priority="86" stopIfTrue="1" operator="equal">
      <formula>"Agrarian"</formula>
    </cfRule>
    <cfRule type="cellIs" dxfId="143" priority="87" stopIfTrue="1" operator="equal">
      <formula>"Expansionist"</formula>
    </cfRule>
    <cfRule type="cellIs" dxfId="142" priority="88" stopIfTrue="1" operator="equal">
      <formula>"Militarist"</formula>
    </cfRule>
    <cfRule type="cellIs" dxfId="141" priority="89" stopIfTrue="1" operator="equal">
      <formula>"Aesthete"</formula>
    </cfRule>
    <cfRule type="cellIs" dxfId="140" priority="90" stopIfTrue="1" operator="equal">
      <formula>"Merchant"</formula>
    </cfRule>
    <cfRule type="cellIs" dxfId="139" priority="91" stopIfTrue="1" operator="equal">
      <formula>"Scientist"</formula>
    </cfRule>
  </conditionalFormatting>
  <conditionalFormatting sqref="N34:N43">
    <cfRule type="cellIs" dxfId="138" priority="78" stopIfTrue="1" operator="equal">
      <formula>"Builder"</formula>
    </cfRule>
    <cfRule type="cellIs" dxfId="137" priority="79" stopIfTrue="1" operator="equal">
      <formula>"Agrarian"</formula>
    </cfRule>
    <cfRule type="cellIs" dxfId="136" priority="80" stopIfTrue="1" operator="equal">
      <formula>"Expansionist"</formula>
    </cfRule>
    <cfRule type="cellIs" dxfId="135" priority="81" stopIfTrue="1" operator="equal">
      <formula>"Militarist"</formula>
    </cfRule>
    <cfRule type="cellIs" dxfId="134" priority="82" stopIfTrue="1" operator="equal">
      <formula>"Aesthete"</formula>
    </cfRule>
    <cfRule type="cellIs" dxfId="133" priority="83" stopIfTrue="1" operator="equal">
      <formula>"Merchant"</formula>
    </cfRule>
    <cfRule type="cellIs" dxfId="132" priority="84" stopIfTrue="1" operator="equal">
      <formula>"Scientist"</formula>
    </cfRule>
  </conditionalFormatting>
  <conditionalFormatting sqref="N44:N53">
    <cfRule type="cellIs" dxfId="131" priority="71" stopIfTrue="1" operator="equal">
      <formula>"Builder"</formula>
    </cfRule>
    <cfRule type="cellIs" dxfId="130" priority="72" stopIfTrue="1" operator="equal">
      <formula>"Agrarian"</formula>
    </cfRule>
    <cfRule type="cellIs" dxfId="129" priority="73" stopIfTrue="1" operator="equal">
      <formula>"Expansionist"</formula>
    </cfRule>
    <cfRule type="cellIs" dxfId="128" priority="74" stopIfTrue="1" operator="equal">
      <formula>"Militarist"</formula>
    </cfRule>
    <cfRule type="cellIs" dxfId="127" priority="75" stopIfTrue="1" operator="equal">
      <formula>"Aesthete"</formula>
    </cfRule>
    <cfRule type="cellIs" dxfId="126" priority="76" stopIfTrue="1" operator="equal">
      <formula>"Merchant"</formula>
    </cfRule>
    <cfRule type="cellIs" dxfId="125" priority="77" stopIfTrue="1" operator="equal">
      <formula>"Scientist"</formula>
    </cfRule>
  </conditionalFormatting>
  <conditionalFormatting sqref="N54:N63">
    <cfRule type="cellIs" dxfId="124" priority="64" stopIfTrue="1" operator="equal">
      <formula>"Builder"</formula>
    </cfRule>
    <cfRule type="cellIs" dxfId="123" priority="65" stopIfTrue="1" operator="equal">
      <formula>"Agrarian"</formula>
    </cfRule>
    <cfRule type="cellIs" dxfId="122" priority="66" stopIfTrue="1" operator="equal">
      <formula>"Expansionist"</formula>
    </cfRule>
    <cfRule type="cellIs" dxfId="121" priority="67" stopIfTrue="1" operator="equal">
      <formula>"Militarist"</formula>
    </cfRule>
    <cfRule type="cellIs" dxfId="120" priority="68" stopIfTrue="1" operator="equal">
      <formula>"Aesthete"</formula>
    </cfRule>
    <cfRule type="cellIs" dxfId="119" priority="69" stopIfTrue="1" operator="equal">
      <formula>"Merchant"</formula>
    </cfRule>
    <cfRule type="cellIs" dxfId="118" priority="70" stopIfTrue="1" operator="equal">
      <formula>"Scientist"</formula>
    </cfRule>
  </conditionalFormatting>
  <conditionalFormatting sqref="O4:O64">
    <cfRule type="cellIs" dxfId="117" priority="8" stopIfTrue="1" operator="equal">
      <formula>"Builder"</formula>
    </cfRule>
    <cfRule type="cellIs" dxfId="116" priority="9" stopIfTrue="1" operator="equal">
      <formula>"Agrarian"</formula>
    </cfRule>
    <cfRule type="cellIs" dxfId="115" priority="10" stopIfTrue="1" operator="equal">
      <formula>"Expansionist"</formula>
    </cfRule>
    <cfRule type="cellIs" dxfId="114" priority="11" stopIfTrue="1" operator="equal">
      <formula>"Militarist"</formula>
    </cfRule>
    <cfRule type="cellIs" dxfId="113" priority="12" stopIfTrue="1" operator="equal">
      <formula>"Aesthete"</formula>
    </cfRule>
    <cfRule type="cellIs" dxfId="112" priority="13" stopIfTrue="1" operator="equal">
      <formula>"Merchant"</formula>
    </cfRule>
    <cfRule type="cellIs" dxfId="111" priority="14" stopIfTrue="1" operator="equal">
      <formula>"Scientist"</formula>
    </cfRule>
  </conditionalFormatting>
  <conditionalFormatting sqref="R29:X29">
    <cfRule type="cellIs" dxfId="110" priority="1" stopIfTrue="1" operator="equal">
      <formula>"Builder"</formula>
    </cfRule>
    <cfRule type="cellIs" dxfId="109" priority="2" stopIfTrue="1" operator="equal">
      <formula>"Agrarian"</formula>
    </cfRule>
    <cfRule type="cellIs" dxfId="108" priority="3" stopIfTrue="1" operator="equal">
      <formula>"Expansionist"</formula>
    </cfRule>
    <cfRule type="cellIs" dxfId="107" priority="4" stopIfTrue="1" operator="equal">
      <formula>"Militarist"</formula>
    </cfRule>
    <cfRule type="cellIs" dxfId="106" priority="5" stopIfTrue="1" operator="equal">
      <formula>"Aesthete"</formula>
    </cfRule>
    <cfRule type="cellIs" dxfId="105" priority="6" stopIfTrue="1" operator="equal">
      <formula>"Merchant"</formula>
    </cfRule>
    <cfRule type="cellIs" dxfId="104" priority="7" stopIfTrue="1" operator="equal">
      <formula>"Scientist"</formula>
    </cfRule>
  </conditionalFormatting>
  <hyperlinks>
    <hyperlink ref="D1" r:id="rId1" xr:uid="{00000000-0004-0000-0100-000000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99" stopIfTrue="1" operator="beginsWith" id="{F553296F-6FE7-4D96-8FA2-0116CB61EF6C}">
            <xm:f>LEFT(N4,LEN("Bui"))="Bui"</xm:f>
            <xm:f>"Bui"</xm:f>
            <x14:dxf>
              <font>
                <color auto="1"/>
              </font>
              <fill>
                <patternFill>
                  <bgColor theme="6"/>
                </patternFill>
              </fill>
            </x14:dxf>
          </x14:cfRule>
          <x14:cfRule type="beginsWith" priority="100" stopIfTrue="1" operator="beginsWith" id="{42ED2E12-72E7-4A34-9007-3866D2209EAD}">
            <xm:f>LEFT(N4,LEN("Agr"))="Agr"</xm:f>
            <xm:f>"Agr"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beginsWith" priority="101" stopIfTrue="1" operator="beginsWith" id="{AD780FA0-4479-4C1B-BA49-01C047953296}">
            <xm:f>LEFT(N4,LEN("Exp"))="Exp"</xm:f>
            <xm:f>"Exp"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beginsWith" priority="102" stopIfTrue="1" operator="beginsWith" id="{65FFFAA8-0C2E-4466-97F5-DB199C1F458B}">
            <xm:f>LEFT(N4,LEN("Mil"))="Mil"</xm:f>
            <xm:f>"Mil"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beginsWith" priority="103" stopIfTrue="1" operator="beginsWith" id="{B8850221-053E-48D9-AA6D-161F71C6A763}">
            <xm:f>LEFT(N4,LEN("Aes"))="Aes"</xm:f>
            <xm:f>"Aes"</xm:f>
            <x14:dxf>
              <font>
                <color auto="1"/>
              </font>
              <fill>
                <patternFill>
                  <bgColor rgb="FFCC99FF"/>
                </patternFill>
              </fill>
            </x14:dxf>
          </x14:cfRule>
          <x14:cfRule type="beginsWith" priority="104" stopIfTrue="1" operator="beginsWith" id="{29A067B9-C052-460A-A246-E4B67DC5CA76}">
            <xm:f>LEFT(N4,LEN("Mer"))="Mer"</xm:f>
            <xm:f>"Mer"</xm:f>
            <x14:dxf>
              <font>
                <color auto="1"/>
              </font>
              <fill>
                <patternFill>
                  <bgColor theme="6" tint="0.59996337778862885"/>
                </patternFill>
              </fill>
            </x14:dxf>
          </x14:cfRule>
          <x14:cfRule type="beginsWith" priority="105" stopIfTrue="1" operator="beginsWith" id="{E296E966-9C8B-4082-9085-C09A3112D952}">
            <xm:f>LEFT(N4,LEN("Sci"))="Sci"</xm:f>
            <xm:f>"Sci"</xm:f>
            <x14:dxf>
              <font>
                <color auto="1"/>
              </font>
              <fill>
                <patternFill>
                  <bgColor rgb="FF00B0F0"/>
                </patternFill>
              </fill>
            </x14:dxf>
          </x14:cfRule>
          <xm:sqref>N4:N13 O4:O63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4D1D0-171A-4A65-91ED-28C269015199}">
  <dimension ref="A1:CG9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X57" sqref="X57"/>
    </sheetView>
  </sheetViews>
  <sheetFormatPr baseColWidth="10" defaultColWidth="11.5546875" defaultRowHeight="13.2" outlineLevelRow="1" outlineLevelCol="1" x14ac:dyDescent="0.25"/>
  <cols>
    <col min="1" max="1" width="7.5546875" customWidth="1"/>
    <col min="2" max="2" width="15.33203125" bestFit="1" customWidth="1"/>
    <col min="3" max="3" width="21.77734375" bestFit="1" customWidth="1"/>
    <col min="4" max="4" width="5.21875" bestFit="1" customWidth="1"/>
    <col min="5" max="5" width="7.44140625" bestFit="1" customWidth="1"/>
    <col min="6" max="6" width="19.44140625" bestFit="1" customWidth="1"/>
    <col min="7" max="7" width="5.21875" bestFit="1" customWidth="1"/>
    <col min="8" max="8" width="7.44140625" bestFit="1" customWidth="1"/>
    <col min="9" max="9" width="21.21875" bestFit="1" customWidth="1"/>
    <col min="10" max="10" width="5.21875" bestFit="1" customWidth="1"/>
    <col min="11" max="11" width="7.44140625" bestFit="1" customWidth="1"/>
    <col min="12" max="12" width="21.21875" bestFit="1" customWidth="1"/>
    <col min="13" max="13" width="5.21875" bestFit="1" customWidth="1"/>
    <col min="14" max="14" width="7.44140625" bestFit="1" customWidth="1"/>
    <col min="15" max="15" width="20.6640625" bestFit="1" customWidth="1"/>
    <col min="16" max="16" width="5.21875" bestFit="1" customWidth="1"/>
    <col min="17" max="17" width="7.44140625" bestFit="1" customWidth="1"/>
    <col min="18" max="18" width="18.88671875" bestFit="1" customWidth="1"/>
    <col min="19" max="19" width="5.6640625" customWidth="1"/>
    <col min="20" max="20" width="7.44140625" bestFit="1" customWidth="1"/>
    <col min="21" max="21" width="19.88671875" hidden="1" customWidth="1" outlineLevel="1"/>
    <col min="22" max="22" width="5.21875" hidden="1" customWidth="1" outlineLevel="1"/>
    <col min="23" max="23" width="7.44140625" hidden="1" customWidth="1" outlineLevel="1"/>
    <col min="24" max="24" width="19.88671875" hidden="1" customWidth="1" outlineLevel="1"/>
    <col min="25" max="25" width="5.21875" hidden="1" customWidth="1" outlineLevel="1"/>
    <col min="26" max="26" width="7.44140625" hidden="1" customWidth="1" outlineLevel="1"/>
    <col min="27" max="27" width="19.88671875" hidden="1" customWidth="1" outlineLevel="1"/>
    <col min="28" max="28" width="5.21875" hidden="1" customWidth="1" outlineLevel="1"/>
    <col min="29" max="29" width="7.44140625" hidden="1" customWidth="1" outlineLevel="1"/>
    <col min="30" max="30" width="19.88671875" hidden="1" customWidth="1" outlineLevel="1"/>
    <col min="31" max="31" width="5.21875" hidden="1" customWidth="1" outlineLevel="1"/>
    <col min="32" max="32" width="7.44140625" hidden="1" customWidth="1" outlineLevel="1"/>
    <col min="33" max="33" width="17.88671875" hidden="1" customWidth="1" outlineLevel="1"/>
    <col min="34" max="34" width="5.21875" hidden="1" customWidth="1" outlineLevel="1"/>
    <col min="35" max="35" width="7.44140625" hidden="1" customWidth="1" outlineLevel="1"/>
    <col min="36" max="36" width="19.109375" hidden="1" customWidth="1" outlineLevel="1"/>
    <col min="37" max="37" width="5.21875" hidden="1" customWidth="1" outlineLevel="1"/>
    <col min="38" max="38" width="7.44140625" hidden="1" customWidth="1" outlineLevel="1"/>
    <col min="39" max="39" width="19.109375" hidden="1" customWidth="1" outlineLevel="1"/>
    <col min="40" max="40" width="5.21875" hidden="1" customWidth="1" outlineLevel="1"/>
    <col min="41" max="41" width="6.5546875" hidden="1" customWidth="1" outlineLevel="1"/>
    <col min="42" max="42" width="19.88671875" hidden="1" customWidth="1" outlineLevel="1"/>
    <col min="43" max="43" width="5.21875" hidden="1" customWidth="1" outlineLevel="1"/>
    <col min="44" max="44" width="6.5546875" hidden="1" customWidth="1" outlineLevel="1"/>
    <col min="45" max="45" width="20.33203125" hidden="1" customWidth="1" outlineLevel="1"/>
    <col min="46" max="46" width="6" hidden="1" customWidth="1" outlineLevel="1"/>
    <col min="47" max="47" width="6.5546875" hidden="1" customWidth="1" outlineLevel="1"/>
    <col min="48" max="48" width="18.88671875" hidden="1" customWidth="1" outlineLevel="1"/>
    <col min="49" max="50" width="6.5546875" hidden="1" customWidth="1" outlineLevel="1"/>
    <col min="51" max="51" width="17.88671875" hidden="1" customWidth="1" outlineLevel="1"/>
    <col min="52" max="53" width="6.5546875" hidden="1" customWidth="1" outlineLevel="1"/>
    <col min="54" max="54" width="19.5546875" hidden="1" customWidth="1" outlineLevel="1"/>
    <col min="55" max="56" width="6.5546875" hidden="1" customWidth="1" outlineLevel="1"/>
    <col min="57" max="57" width="19.5546875" hidden="1" customWidth="1" outlineLevel="1"/>
    <col min="58" max="59" width="6.5546875" hidden="1" customWidth="1" outlineLevel="1"/>
    <col min="60" max="60" width="19.109375" bestFit="1" customWidth="1" collapsed="1"/>
    <col min="61" max="62" width="6.5546875" customWidth="1"/>
    <col min="63" max="63" width="20.6640625" bestFit="1" customWidth="1"/>
    <col min="64" max="65" width="6.5546875" customWidth="1"/>
    <col min="66" max="66" width="20.6640625" bestFit="1" customWidth="1"/>
    <col min="67" max="68" width="6.5546875" customWidth="1"/>
    <col min="69" max="69" width="3.21875" customWidth="1"/>
    <col min="70" max="70" width="21.6640625" customWidth="1"/>
    <col min="71" max="71" width="5.21875" bestFit="1" customWidth="1"/>
    <col min="72" max="73" width="7.77734375" customWidth="1"/>
    <col min="74" max="75" width="5.5546875" customWidth="1"/>
    <col min="76" max="76" width="15.33203125" bestFit="1" customWidth="1"/>
    <col min="77" max="79" width="13.77734375" customWidth="1"/>
    <col min="80" max="80" width="15.33203125" bestFit="1" customWidth="1"/>
    <col min="81" max="81" width="13.77734375" customWidth="1"/>
    <col min="82" max="82" width="16.44140625" bestFit="1" customWidth="1"/>
    <col min="83" max="83" width="8.109375" customWidth="1"/>
    <col min="84" max="84" width="7.6640625" customWidth="1"/>
    <col min="85" max="85" width="12.33203125" bestFit="1" customWidth="1"/>
  </cols>
  <sheetData>
    <row r="1" spans="1:85" ht="21" customHeight="1" thickBot="1" x14ac:dyDescent="0.3">
      <c r="A1" s="452" t="s">
        <v>686</v>
      </c>
      <c r="B1" s="266" t="s">
        <v>528</v>
      </c>
      <c r="AA1" s="78" t="s">
        <v>645</v>
      </c>
      <c r="AB1" s="78"/>
      <c r="AD1" s="78" t="s">
        <v>645</v>
      </c>
      <c r="AE1" s="78"/>
      <c r="AG1" s="78" t="s">
        <v>645</v>
      </c>
      <c r="AH1" s="78"/>
      <c r="AJ1" s="78" t="s">
        <v>640</v>
      </c>
      <c r="AK1" s="78"/>
      <c r="AM1" s="78" t="s">
        <v>640</v>
      </c>
      <c r="AP1" s="78" t="s">
        <v>640</v>
      </c>
      <c r="AS1" s="78" t="s">
        <v>673</v>
      </c>
    </row>
    <row r="2" spans="1:85" ht="23.4" customHeight="1" thickBot="1" x14ac:dyDescent="0.3">
      <c r="A2" s="464" t="s">
        <v>710</v>
      </c>
      <c r="B2" s="457" t="s">
        <v>626</v>
      </c>
      <c r="C2" s="582" t="s">
        <v>628</v>
      </c>
      <c r="D2" s="583"/>
      <c r="E2" s="497">
        <v>1</v>
      </c>
      <c r="F2" s="582" t="s">
        <v>628</v>
      </c>
      <c r="G2" s="583"/>
      <c r="H2" s="497">
        <f>E2+1</f>
        <v>2</v>
      </c>
      <c r="I2" s="583" t="s">
        <v>628</v>
      </c>
      <c r="J2" s="583"/>
      <c r="K2" s="497">
        <f>H2+1</f>
        <v>3</v>
      </c>
      <c r="L2" s="582" t="s">
        <v>628</v>
      </c>
      <c r="M2" s="583"/>
      <c r="N2" s="497">
        <f>K2+1</f>
        <v>4</v>
      </c>
      <c r="O2" s="582" t="s">
        <v>628</v>
      </c>
      <c r="P2" s="583"/>
      <c r="Q2" s="497">
        <f>N2+1</f>
        <v>5</v>
      </c>
      <c r="R2" s="582" t="s">
        <v>628</v>
      </c>
      <c r="S2" s="583"/>
      <c r="T2" s="497">
        <f>Q2+1</f>
        <v>6</v>
      </c>
      <c r="U2" s="582" t="s">
        <v>628</v>
      </c>
      <c r="V2" s="583"/>
      <c r="W2" s="497">
        <f>T2+1</f>
        <v>7</v>
      </c>
      <c r="X2" s="582" t="s">
        <v>628</v>
      </c>
      <c r="Y2" s="583"/>
      <c r="Z2" s="498">
        <f>W2+1</f>
        <v>8</v>
      </c>
      <c r="AA2" s="582" t="s">
        <v>628</v>
      </c>
      <c r="AB2" s="583"/>
      <c r="AC2" s="498">
        <f>Z2+1</f>
        <v>9</v>
      </c>
      <c r="AD2" s="582" t="s">
        <v>628</v>
      </c>
      <c r="AE2" s="583"/>
      <c r="AF2" s="498">
        <f>AC2+1</f>
        <v>10</v>
      </c>
      <c r="AG2" s="582" t="s">
        <v>628</v>
      </c>
      <c r="AH2" s="583"/>
      <c r="AI2" s="498">
        <f>AF2+1</f>
        <v>11</v>
      </c>
      <c r="AJ2" s="499" t="s">
        <v>628</v>
      </c>
      <c r="AK2" s="500"/>
      <c r="AL2" s="498">
        <f>AI2+1</f>
        <v>12</v>
      </c>
      <c r="AM2" s="582" t="s">
        <v>628</v>
      </c>
      <c r="AN2" s="583"/>
      <c r="AO2" s="498">
        <f>AL2+1</f>
        <v>13</v>
      </c>
      <c r="AP2" s="582" t="s">
        <v>628</v>
      </c>
      <c r="AQ2" s="583"/>
      <c r="AR2" s="498">
        <f>AO2+1</f>
        <v>14</v>
      </c>
      <c r="AS2" s="582" t="s">
        <v>628</v>
      </c>
      <c r="AT2" s="583"/>
      <c r="AU2" s="498">
        <f>AR2+1</f>
        <v>15</v>
      </c>
      <c r="AV2" s="582" t="s">
        <v>628</v>
      </c>
      <c r="AW2" s="583"/>
      <c r="AX2" s="498">
        <f>AU2+1</f>
        <v>16</v>
      </c>
      <c r="AY2" s="582" t="s">
        <v>628</v>
      </c>
      <c r="AZ2" s="583"/>
      <c r="BA2" s="498">
        <f>AX2+1</f>
        <v>17</v>
      </c>
      <c r="BB2" s="582" t="s">
        <v>628</v>
      </c>
      <c r="BC2" s="583"/>
      <c r="BD2" s="498">
        <f>BA2+1</f>
        <v>18</v>
      </c>
      <c r="BE2" s="582" t="s">
        <v>628</v>
      </c>
      <c r="BF2" s="583"/>
      <c r="BG2" s="498">
        <f>BD2+1</f>
        <v>19</v>
      </c>
      <c r="BH2" s="582" t="s">
        <v>628</v>
      </c>
      <c r="BI2" s="583"/>
      <c r="BJ2" s="498">
        <f>BG2+1</f>
        <v>20</v>
      </c>
      <c r="BK2" s="582" t="s">
        <v>628</v>
      </c>
      <c r="BL2" s="583"/>
      <c r="BM2" s="498">
        <f>BJ2+1</f>
        <v>21</v>
      </c>
      <c r="BN2" s="582" t="s">
        <v>628</v>
      </c>
      <c r="BO2" s="583"/>
      <c r="BP2" s="498">
        <f>BM2+1</f>
        <v>22</v>
      </c>
      <c r="BQ2" s="584" t="s">
        <v>627</v>
      </c>
      <c r="BR2" s="585"/>
      <c r="BS2" s="585"/>
      <c r="BT2" s="585"/>
      <c r="BU2" s="586"/>
      <c r="BX2" s="253" t="s">
        <v>0</v>
      </c>
      <c r="BY2" s="324" t="s">
        <v>1</v>
      </c>
      <c r="BZ2" s="325" t="s">
        <v>2</v>
      </c>
      <c r="CA2" s="326" t="s">
        <v>3</v>
      </c>
      <c r="CB2" s="327" t="s">
        <v>4</v>
      </c>
      <c r="CC2" s="328" t="s">
        <v>5</v>
      </c>
      <c r="CD2" s="329" t="s">
        <v>6</v>
      </c>
      <c r="CE2" s="323" t="s">
        <v>7</v>
      </c>
    </row>
    <row r="3" spans="1:85" ht="13.2" customHeight="1" x14ac:dyDescent="0.25">
      <c r="A3" s="573" t="s">
        <v>664</v>
      </c>
      <c r="B3" s="301" t="s">
        <v>742</v>
      </c>
      <c r="C3" s="508" t="s">
        <v>546</v>
      </c>
      <c r="D3" s="73" t="s">
        <v>659</v>
      </c>
      <c r="E3" s="73" t="s">
        <v>624</v>
      </c>
      <c r="F3" s="508" t="s">
        <v>546</v>
      </c>
      <c r="G3" s="73" t="s">
        <v>659</v>
      </c>
      <c r="H3" s="73" t="s">
        <v>624</v>
      </c>
      <c r="I3" s="509" t="s">
        <v>546</v>
      </c>
      <c r="J3" s="73" t="s">
        <v>659</v>
      </c>
      <c r="K3" s="73" t="s">
        <v>624</v>
      </c>
      <c r="L3" s="508" t="s">
        <v>546</v>
      </c>
      <c r="M3" s="73" t="s">
        <v>659</v>
      </c>
      <c r="N3" s="73" t="s">
        <v>624</v>
      </c>
      <c r="O3" s="508" t="s">
        <v>546</v>
      </c>
      <c r="P3" s="73" t="s">
        <v>659</v>
      </c>
      <c r="Q3" s="73" t="s">
        <v>624</v>
      </c>
      <c r="R3" s="508" t="s">
        <v>546</v>
      </c>
      <c r="S3" s="73" t="s">
        <v>659</v>
      </c>
      <c r="T3" s="73" t="s">
        <v>624</v>
      </c>
      <c r="U3" s="508" t="s">
        <v>546</v>
      </c>
      <c r="V3" s="73" t="s">
        <v>659</v>
      </c>
      <c r="W3" s="73" t="s">
        <v>624</v>
      </c>
      <c r="X3" s="508" t="s">
        <v>546</v>
      </c>
      <c r="Y3" s="73" t="s">
        <v>659</v>
      </c>
      <c r="Z3" s="73" t="s">
        <v>624</v>
      </c>
      <c r="AA3" s="508" t="s">
        <v>546</v>
      </c>
      <c r="AB3" s="73" t="s">
        <v>659</v>
      </c>
      <c r="AC3" s="73" t="s">
        <v>624</v>
      </c>
      <c r="AD3" s="508" t="s">
        <v>546</v>
      </c>
      <c r="AE3" s="73" t="s">
        <v>659</v>
      </c>
      <c r="AF3" s="73" t="s">
        <v>624</v>
      </c>
      <c r="AG3" s="508" t="s">
        <v>546</v>
      </c>
      <c r="AH3" s="73" t="s">
        <v>659</v>
      </c>
      <c r="AI3" s="73" t="s">
        <v>624</v>
      </c>
      <c r="AJ3" s="508" t="s">
        <v>546</v>
      </c>
      <c r="AK3" s="73" t="s">
        <v>659</v>
      </c>
      <c r="AL3" s="73" t="s">
        <v>624</v>
      </c>
      <c r="AM3" s="508" t="s">
        <v>546</v>
      </c>
      <c r="AN3" s="73" t="s">
        <v>659</v>
      </c>
      <c r="AO3" s="73" t="s">
        <v>624</v>
      </c>
      <c r="AP3" s="508" t="s">
        <v>546</v>
      </c>
      <c r="AQ3" s="73" t="s">
        <v>659</v>
      </c>
      <c r="AR3" s="73" t="s">
        <v>624</v>
      </c>
      <c r="AS3" s="508" t="s">
        <v>546</v>
      </c>
      <c r="AT3" s="73" t="s">
        <v>659</v>
      </c>
      <c r="AU3" s="73" t="s">
        <v>624</v>
      </c>
      <c r="AV3" s="508" t="s">
        <v>546</v>
      </c>
      <c r="AW3" s="73" t="s">
        <v>659</v>
      </c>
      <c r="AX3" s="73" t="s">
        <v>624</v>
      </c>
      <c r="AY3" s="508" t="s">
        <v>546</v>
      </c>
      <c r="AZ3" s="73" t="s">
        <v>659</v>
      </c>
      <c r="BA3" s="73" t="s">
        <v>624</v>
      </c>
      <c r="BB3" s="508" t="s">
        <v>546</v>
      </c>
      <c r="BC3" s="73" t="s">
        <v>659</v>
      </c>
      <c r="BD3" s="73" t="s">
        <v>624</v>
      </c>
      <c r="BE3" s="508" t="s">
        <v>546</v>
      </c>
      <c r="BF3" s="73" t="s">
        <v>659</v>
      </c>
      <c r="BG3" s="73" t="s">
        <v>624</v>
      </c>
      <c r="BH3" s="508" t="s">
        <v>546</v>
      </c>
      <c r="BI3" s="73" t="s">
        <v>659</v>
      </c>
      <c r="BJ3" s="73" t="s">
        <v>624</v>
      </c>
      <c r="BK3" s="508" t="s">
        <v>546</v>
      </c>
      <c r="BL3" s="73" t="s">
        <v>659</v>
      </c>
      <c r="BM3" s="73" t="s">
        <v>624</v>
      </c>
      <c r="BN3" s="508" t="s">
        <v>546</v>
      </c>
      <c r="BO3" s="73" t="s">
        <v>659</v>
      </c>
      <c r="BP3" s="73" t="s">
        <v>624</v>
      </c>
      <c r="BQ3" s="482"/>
      <c r="BR3" s="73" t="s">
        <v>258</v>
      </c>
      <c r="BS3" s="73" t="s">
        <v>659</v>
      </c>
      <c r="BT3" s="73" t="s">
        <v>624</v>
      </c>
      <c r="BU3" s="69" t="s">
        <v>626</v>
      </c>
      <c r="BW3" s="591" t="s">
        <v>668</v>
      </c>
      <c r="BX3" s="254" t="s">
        <v>8</v>
      </c>
      <c r="BY3" s="321">
        <f>Cultures!H6</f>
        <v>4</v>
      </c>
      <c r="BZ3" s="321">
        <f>Cultures!H22</f>
        <v>2</v>
      </c>
      <c r="CA3" s="321">
        <f>Cultures!H29</f>
        <v>6</v>
      </c>
      <c r="CB3" s="321">
        <f>Cultures!H39</f>
        <v>4</v>
      </c>
      <c r="CC3" s="321">
        <f>Cultures!H50+Cultures!H52</f>
        <v>4</v>
      </c>
      <c r="CD3" s="321">
        <f>Cultures!H55</f>
        <v>1</v>
      </c>
      <c r="CE3" s="322">
        <f t="shared" ref="CE3:CE8" si="0">SUM(BY3:CD3)</f>
        <v>21</v>
      </c>
    </row>
    <row r="4" spans="1:85" x14ac:dyDescent="0.25">
      <c r="A4" s="574"/>
      <c r="B4" s="302" t="s">
        <v>738</v>
      </c>
      <c r="C4" s="113" t="s">
        <v>634</v>
      </c>
      <c r="D4" s="247"/>
      <c r="E4" s="203"/>
      <c r="F4" s="113" t="s">
        <v>634</v>
      </c>
      <c r="G4" s="247"/>
      <c r="H4" s="203"/>
      <c r="I4" s="297" t="s">
        <v>635</v>
      </c>
      <c r="J4" s="247"/>
      <c r="K4" s="203"/>
      <c r="L4" s="113" t="s">
        <v>635</v>
      </c>
      <c r="M4" s="247"/>
      <c r="N4" s="203"/>
      <c r="O4" s="113" t="s">
        <v>635</v>
      </c>
      <c r="P4" s="247"/>
      <c r="Q4" s="203"/>
      <c r="R4" s="113" t="s">
        <v>635</v>
      </c>
      <c r="S4" s="247"/>
      <c r="T4" s="203"/>
      <c r="U4" s="113" t="s">
        <v>635</v>
      </c>
      <c r="V4" s="247"/>
      <c r="W4" s="203"/>
      <c r="X4" s="113" t="s">
        <v>635</v>
      </c>
      <c r="Y4" s="247"/>
      <c r="Z4" s="203"/>
      <c r="AA4" s="113" t="s">
        <v>635</v>
      </c>
      <c r="AB4" s="247"/>
      <c r="AC4" s="203"/>
      <c r="AD4" s="113" t="s">
        <v>635</v>
      </c>
      <c r="AE4" s="247"/>
      <c r="AF4" s="203"/>
      <c r="AG4" s="113" t="s">
        <v>636</v>
      </c>
      <c r="AH4" s="247"/>
      <c r="AI4" s="203"/>
      <c r="AJ4" s="113" t="s">
        <v>638</v>
      </c>
      <c r="AK4" s="247"/>
      <c r="AL4" s="203"/>
      <c r="AM4" s="113" t="s">
        <v>641</v>
      </c>
      <c r="AN4" s="247"/>
      <c r="AO4" s="203"/>
      <c r="AP4" s="113" t="s">
        <v>634</v>
      </c>
      <c r="AQ4" s="247"/>
      <c r="AR4" s="203"/>
      <c r="AS4" s="113" t="s">
        <v>674</v>
      </c>
      <c r="AT4" s="247"/>
      <c r="AU4" s="203"/>
      <c r="AV4" s="113" t="s">
        <v>678</v>
      </c>
      <c r="AW4" s="247"/>
      <c r="AX4" s="203"/>
      <c r="AY4" s="113" t="s">
        <v>678</v>
      </c>
      <c r="AZ4" s="247"/>
      <c r="BA4" s="203"/>
      <c r="BB4" s="113" t="s">
        <v>674</v>
      </c>
      <c r="BC4" s="247"/>
      <c r="BD4" s="203"/>
      <c r="BE4" s="113">
        <v>2</v>
      </c>
      <c r="BF4" s="247"/>
      <c r="BG4" s="203"/>
      <c r="BH4" s="113">
        <v>1</v>
      </c>
      <c r="BI4" s="247"/>
      <c r="BJ4" s="203"/>
      <c r="BK4" s="113">
        <v>2</v>
      </c>
      <c r="BL4" s="247"/>
      <c r="BM4" s="203"/>
      <c r="BN4" s="113"/>
      <c r="BO4" s="247"/>
      <c r="BP4" s="203"/>
      <c r="BQ4" s="252"/>
      <c r="BR4" s="247"/>
      <c r="BS4" s="247"/>
      <c r="BT4" s="203"/>
      <c r="BU4" s="112"/>
      <c r="BW4" s="592"/>
      <c r="BX4" s="181" t="s">
        <v>9</v>
      </c>
      <c r="BY4" s="54">
        <f>Cultures!H7</f>
        <v>2</v>
      </c>
      <c r="BZ4" s="54">
        <f>Cultures!H17</f>
        <v>1</v>
      </c>
      <c r="CA4" s="54">
        <f>Cultures!H26</f>
        <v>2</v>
      </c>
      <c r="CB4" s="54">
        <f>Cultures!H36</f>
        <v>1</v>
      </c>
      <c r="CC4" s="54">
        <f>Cultures!H49</f>
        <v>1</v>
      </c>
      <c r="CD4" s="54">
        <f>Cultures!H56+Cultures!H63</f>
        <v>3</v>
      </c>
      <c r="CE4" s="55">
        <f t="shared" si="0"/>
        <v>10</v>
      </c>
    </row>
    <row r="5" spans="1:85" x14ac:dyDescent="0.25">
      <c r="A5" s="574"/>
      <c r="B5" s="302" t="s">
        <v>733</v>
      </c>
      <c r="C5" s="113">
        <v>6</v>
      </c>
      <c r="D5" s="247"/>
      <c r="E5" s="203"/>
      <c r="F5" s="113">
        <v>6</v>
      </c>
      <c r="G5" s="247"/>
      <c r="H5" s="203"/>
      <c r="I5" s="297">
        <v>8</v>
      </c>
      <c r="J5" s="247"/>
      <c r="K5" s="203"/>
      <c r="L5" s="113">
        <v>10</v>
      </c>
      <c r="M5" s="247"/>
      <c r="N5" s="203"/>
      <c r="O5" s="113">
        <v>8</v>
      </c>
      <c r="P5" s="247"/>
      <c r="Q5" s="203"/>
      <c r="R5" s="113">
        <v>6</v>
      </c>
      <c r="S5" s="247"/>
      <c r="T5" s="203"/>
      <c r="U5" s="113">
        <v>6</v>
      </c>
      <c r="V5" s="247"/>
      <c r="W5" s="203"/>
      <c r="X5" s="113">
        <v>7</v>
      </c>
      <c r="Y5" s="247"/>
      <c r="Z5" s="203"/>
      <c r="AA5" s="113">
        <v>9</v>
      </c>
      <c r="AB5" s="247"/>
      <c r="AC5" s="203"/>
      <c r="AD5" s="113">
        <v>7</v>
      </c>
      <c r="AE5" s="247"/>
      <c r="AF5" s="203"/>
      <c r="AG5" s="113">
        <v>7</v>
      </c>
      <c r="AH5" s="247"/>
      <c r="AI5" s="203"/>
      <c r="AJ5" s="113">
        <v>7</v>
      </c>
      <c r="AK5" s="247"/>
      <c r="AL5" s="203"/>
      <c r="AM5" s="113">
        <v>8</v>
      </c>
      <c r="AN5" s="247"/>
      <c r="AO5" s="203"/>
      <c r="AP5" s="113">
        <v>8</v>
      </c>
      <c r="AQ5" s="247"/>
      <c r="AR5" s="203"/>
      <c r="AS5" s="113">
        <v>6</v>
      </c>
      <c r="AT5" s="247"/>
      <c r="AU5" s="203"/>
      <c r="AV5" s="113">
        <v>8</v>
      </c>
      <c r="AW5" s="247"/>
      <c r="AX5" s="203"/>
      <c r="AY5" s="113">
        <v>6</v>
      </c>
      <c r="AZ5" s="247"/>
      <c r="BA5" s="203"/>
      <c r="BB5" s="113">
        <v>6</v>
      </c>
      <c r="BC5" s="247"/>
      <c r="BD5" s="203"/>
      <c r="BE5" s="113">
        <v>8</v>
      </c>
      <c r="BF5" s="247"/>
      <c r="BG5" s="203"/>
      <c r="BH5" s="113">
        <v>8</v>
      </c>
      <c r="BI5" s="247"/>
      <c r="BJ5" s="203"/>
      <c r="BK5" s="113">
        <v>8</v>
      </c>
      <c r="BL5" s="247"/>
      <c r="BM5" s="203"/>
      <c r="BN5" s="113"/>
      <c r="BO5" s="247"/>
      <c r="BP5" s="203"/>
      <c r="BQ5" s="252"/>
      <c r="BR5" s="247"/>
      <c r="BS5" s="247"/>
      <c r="BT5" s="203"/>
      <c r="BU5" s="112"/>
      <c r="BW5" s="592"/>
      <c r="BX5" s="181" t="s">
        <v>10</v>
      </c>
      <c r="BY5" s="54">
        <f>Cultures!H4</f>
        <v>3</v>
      </c>
      <c r="BZ5" s="54">
        <f>Cultures!H14+Cultures!H23</f>
        <v>8</v>
      </c>
      <c r="CA5" s="54">
        <f>Cultures!H31+Cultures!H32</f>
        <v>2</v>
      </c>
      <c r="CB5" s="54">
        <f>Cultures!H40+Cultures!H42</f>
        <v>1</v>
      </c>
      <c r="CC5" s="54">
        <f>Cultures!H45+Cultures!H48+Cultures!H51</f>
        <v>4</v>
      </c>
      <c r="CD5" s="54">
        <f>Cultures!H54+Cultures!H61</f>
        <v>3</v>
      </c>
      <c r="CE5" s="55">
        <f t="shared" si="0"/>
        <v>21</v>
      </c>
    </row>
    <row r="6" spans="1:85" x14ac:dyDescent="0.25">
      <c r="A6" s="574"/>
      <c r="B6" s="302" t="s">
        <v>737</v>
      </c>
      <c r="C6" s="265">
        <v>0.5</v>
      </c>
      <c r="D6" s="304"/>
      <c r="E6" s="203"/>
      <c r="F6" s="265">
        <v>0.5</v>
      </c>
      <c r="G6" s="304"/>
      <c r="H6" s="203"/>
      <c r="I6" s="298">
        <v>0.5</v>
      </c>
      <c r="J6" s="304"/>
      <c r="K6" s="203"/>
      <c r="L6" s="265">
        <v>0.5</v>
      </c>
      <c r="M6" s="304"/>
      <c r="N6" s="203"/>
      <c r="O6" s="265">
        <v>0.5</v>
      </c>
      <c r="P6" s="304"/>
      <c r="Q6" s="203"/>
      <c r="R6" s="265">
        <v>0.5</v>
      </c>
      <c r="S6" s="304"/>
      <c r="T6" s="203"/>
      <c r="U6" s="265">
        <v>0.5</v>
      </c>
      <c r="V6" s="304"/>
      <c r="W6" s="203"/>
      <c r="X6" s="265">
        <v>0.5</v>
      </c>
      <c r="Y6" s="304"/>
      <c r="Z6" s="203"/>
      <c r="AA6" s="265">
        <v>0.5</v>
      </c>
      <c r="AB6" s="304"/>
      <c r="AC6" s="203"/>
      <c r="AD6" s="113">
        <v>50</v>
      </c>
      <c r="AE6" s="304"/>
      <c r="AF6" s="203"/>
      <c r="AG6" s="265">
        <v>0.5</v>
      </c>
      <c r="AH6" s="304"/>
      <c r="AI6" s="203"/>
      <c r="AJ6" s="265">
        <v>0.6</v>
      </c>
      <c r="AK6" s="304"/>
      <c r="AL6" s="203"/>
      <c r="AM6" s="265">
        <v>0.6</v>
      </c>
      <c r="AN6" s="304"/>
      <c r="AO6" s="203"/>
      <c r="AP6" s="265">
        <v>0.6</v>
      </c>
      <c r="AQ6" s="304"/>
      <c r="AR6" s="203"/>
      <c r="AS6" s="265">
        <v>0.4</v>
      </c>
      <c r="AT6" s="304"/>
      <c r="AU6" s="203"/>
      <c r="AV6" s="265">
        <v>0.5</v>
      </c>
      <c r="AW6" s="304"/>
      <c r="AX6" s="203"/>
      <c r="AY6" s="265">
        <v>0.5</v>
      </c>
      <c r="AZ6" s="304"/>
      <c r="BA6" s="203"/>
      <c r="BB6" s="265">
        <v>0.5</v>
      </c>
      <c r="BC6" s="304"/>
      <c r="BD6" s="203"/>
      <c r="BE6" s="265">
        <v>0.5</v>
      </c>
      <c r="BF6" s="304"/>
      <c r="BG6" s="203"/>
      <c r="BH6" s="265">
        <v>0.6</v>
      </c>
      <c r="BI6" s="304"/>
      <c r="BJ6" s="203"/>
      <c r="BK6" s="265">
        <v>0.6</v>
      </c>
      <c r="BL6" s="304"/>
      <c r="BM6" s="203"/>
      <c r="BN6" s="265"/>
      <c r="BO6" s="304"/>
      <c r="BP6" s="203"/>
      <c r="BQ6" s="252"/>
      <c r="BR6" s="247"/>
      <c r="BS6" s="297"/>
      <c r="BT6" s="262"/>
      <c r="BU6" s="112"/>
      <c r="BW6" s="592"/>
      <c r="BX6" s="181" t="s">
        <v>11</v>
      </c>
      <c r="BY6" s="54">
        <f>Cultures!H8+Cultures!H9</f>
        <v>2</v>
      </c>
      <c r="BZ6" s="54">
        <f>Cultures!H18+Cultures!H20</f>
        <v>2</v>
      </c>
      <c r="CA6" s="54">
        <f>Cultures!H24+Cultures!H30</f>
        <v>2</v>
      </c>
      <c r="CB6" s="54">
        <f>Cultures!H41</f>
        <v>3</v>
      </c>
      <c r="CC6" s="54">
        <f>Cultures!H47+Cultures!H53</f>
        <v>2</v>
      </c>
      <c r="CD6" s="54"/>
      <c r="CE6" s="55">
        <f t="shared" si="0"/>
        <v>11</v>
      </c>
    </row>
    <row r="7" spans="1:85" x14ac:dyDescent="0.25">
      <c r="A7" s="574"/>
      <c r="B7" s="303" t="s">
        <v>739</v>
      </c>
      <c r="C7" s="117" t="s">
        <v>734</v>
      </c>
      <c r="D7" s="248"/>
      <c r="E7" s="203"/>
      <c r="F7" s="117" t="s">
        <v>711</v>
      </c>
      <c r="G7" s="248"/>
      <c r="H7" s="203"/>
      <c r="I7" s="299" t="s">
        <v>717</v>
      </c>
      <c r="J7" s="248"/>
      <c r="K7" s="203"/>
      <c r="L7" s="117" t="s">
        <v>717</v>
      </c>
      <c r="M7" s="248"/>
      <c r="N7" s="203"/>
      <c r="O7" s="117" t="s">
        <v>711</v>
      </c>
      <c r="P7" s="248"/>
      <c r="Q7" s="203"/>
      <c r="R7" s="117" t="s">
        <v>711</v>
      </c>
      <c r="S7" s="248"/>
      <c r="T7" s="203"/>
      <c r="U7" s="117" t="s">
        <v>711</v>
      </c>
      <c r="V7" s="248"/>
      <c r="W7" s="203"/>
      <c r="X7" s="117" t="s">
        <v>711</v>
      </c>
      <c r="Y7" s="248"/>
      <c r="Z7" s="203"/>
      <c r="AA7" s="117" t="s">
        <v>711</v>
      </c>
      <c r="AB7" s="248"/>
      <c r="AC7" s="203"/>
      <c r="AD7" s="117" t="s">
        <v>711</v>
      </c>
      <c r="AE7" s="248"/>
      <c r="AF7" s="203"/>
      <c r="AG7" s="117" t="s">
        <v>711</v>
      </c>
      <c r="AH7" s="248"/>
      <c r="AI7" s="203"/>
      <c r="AJ7" s="117" t="s">
        <v>711</v>
      </c>
      <c r="AK7" s="248"/>
      <c r="AL7" s="203"/>
      <c r="AM7" s="117" t="s">
        <v>711</v>
      </c>
      <c r="AN7" s="248"/>
      <c r="AO7" s="203"/>
      <c r="AP7" s="117" t="s">
        <v>711</v>
      </c>
      <c r="AQ7" s="248"/>
      <c r="AR7" s="203"/>
      <c r="AS7" s="117" t="s">
        <v>711</v>
      </c>
      <c r="AT7" s="248"/>
      <c r="AU7" s="203"/>
      <c r="AV7" s="117" t="s">
        <v>711</v>
      </c>
      <c r="AW7" s="248"/>
      <c r="AX7" s="203"/>
      <c r="AY7" s="117" t="s">
        <v>711</v>
      </c>
      <c r="AZ7" s="248"/>
      <c r="BA7" s="203"/>
      <c r="BB7" s="117" t="s">
        <v>711</v>
      </c>
      <c r="BC7" s="248"/>
      <c r="BD7" s="203"/>
      <c r="BE7" s="117" t="s">
        <v>711</v>
      </c>
      <c r="BF7" s="248"/>
      <c r="BG7" s="203"/>
      <c r="BH7" s="117" t="s">
        <v>711</v>
      </c>
      <c r="BI7" s="248"/>
      <c r="BJ7" s="203"/>
      <c r="BK7" s="117" t="s">
        <v>711</v>
      </c>
      <c r="BL7" s="248"/>
      <c r="BM7" s="203"/>
      <c r="BN7" s="117"/>
      <c r="BO7" s="248"/>
      <c r="BP7" s="203"/>
      <c r="BQ7" s="252"/>
      <c r="BR7" s="248"/>
      <c r="BS7" s="299"/>
      <c r="BT7" s="262"/>
      <c r="BU7" s="112"/>
      <c r="BW7" s="592"/>
      <c r="BX7" s="181" t="s">
        <v>538</v>
      </c>
      <c r="BY7" s="54">
        <f>Cultures!H11+Cultures!H13</f>
        <v>3</v>
      </c>
      <c r="BZ7" s="54">
        <f>Cultures!H21</f>
        <v>3</v>
      </c>
      <c r="CA7" s="54">
        <f>Cultures!H27</f>
        <v>7</v>
      </c>
      <c r="CB7" s="54">
        <f>Cultures!H35+Cultures!H38</f>
        <v>8</v>
      </c>
      <c r="CC7" s="54">
        <f>Cultures!H44</f>
        <v>2</v>
      </c>
      <c r="CD7" s="54">
        <f>Cultures!H58+Cultures!H59</f>
        <v>6</v>
      </c>
      <c r="CE7" s="55">
        <f t="shared" si="0"/>
        <v>29</v>
      </c>
    </row>
    <row r="8" spans="1:85" ht="13.8" thickBot="1" x14ac:dyDescent="0.3">
      <c r="A8" s="574"/>
      <c r="B8" s="303" t="s">
        <v>740</v>
      </c>
      <c r="C8" s="113" t="s">
        <v>734</v>
      </c>
      <c r="D8" s="248"/>
      <c r="E8" s="203"/>
      <c r="F8" s="113" t="s">
        <v>734</v>
      </c>
      <c r="G8" s="248"/>
      <c r="H8" s="203"/>
      <c r="I8" s="113" t="s">
        <v>734</v>
      </c>
      <c r="J8" s="248"/>
      <c r="K8" s="203"/>
      <c r="L8" s="113" t="s">
        <v>734</v>
      </c>
      <c r="M8" s="248"/>
      <c r="N8" s="203"/>
      <c r="O8" s="113" t="s">
        <v>734</v>
      </c>
      <c r="P8" s="248"/>
      <c r="Q8" s="203"/>
      <c r="R8" s="113" t="s">
        <v>734</v>
      </c>
      <c r="S8" s="248"/>
      <c r="T8" s="203"/>
      <c r="U8" s="113" t="s">
        <v>735</v>
      </c>
      <c r="V8" s="248"/>
      <c r="W8" s="203"/>
      <c r="X8" s="113" t="s">
        <v>735</v>
      </c>
      <c r="Y8" s="248"/>
      <c r="Z8" s="203"/>
      <c r="AA8" s="113" t="s">
        <v>735</v>
      </c>
      <c r="AB8" s="248"/>
      <c r="AC8" s="203"/>
      <c r="AD8" s="113" t="s">
        <v>735</v>
      </c>
      <c r="AE8" s="248"/>
      <c r="AF8" s="203"/>
      <c r="AG8" s="113" t="s">
        <v>735</v>
      </c>
      <c r="AH8" s="248"/>
      <c r="AI8" s="203"/>
      <c r="AJ8" s="113" t="s">
        <v>735</v>
      </c>
      <c r="AK8" s="248"/>
      <c r="AL8" s="203"/>
      <c r="AM8" s="113" t="s">
        <v>735</v>
      </c>
      <c r="AN8" s="248"/>
      <c r="AO8" s="203"/>
      <c r="AP8" s="113" t="s">
        <v>735</v>
      </c>
      <c r="AQ8" s="248"/>
      <c r="AR8" s="203"/>
      <c r="AS8" s="113" t="s">
        <v>735</v>
      </c>
      <c r="AT8" s="248"/>
      <c r="AU8" s="203"/>
      <c r="AV8" s="113" t="s">
        <v>735</v>
      </c>
      <c r="AW8" s="248"/>
      <c r="AX8" s="203"/>
      <c r="AY8" s="113" t="s">
        <v>735</v>
      </c>
      <c r="AZ8" s="248"/>
      <c r="BA8" s="203"/>
      <c r="BB8" s="113" t="s">
        <v>735</v>
      </c>
      <c r="BC8" s="248"/>
      <c r="BD8" s="203"/>
      <c r="BE8" s="113" t="s">
        <v>735</v>
      </c>
      <c r="BF8" s="248"/>
      <c r="BG8" s="203"/>
      <c r="BH8" s="113" t="s">
        <v>735</v>
      </c>
      <c r="BI8" s="248"/>
      <c r="BJ8" s="203"/>
      <c r="BK8" s="113" t="s">
        <v>735</v>
      </c>
      <c r="BL8" s="248"/>
      <c r="BM8" s="203"/>
      <c r="BN8" s="113"/>
      <c r="BO8" s="248"/>
      <c r="BP8" s="203"/>
      <c r="BQ8" s="252"/>
      <c r="BR8" s="248"/>
      <c r="BS8" s="299"/>
      <c r="BT8" s="297" t="s">
        <v>661</v>
      </c>
      <c r="BU8" s="261" t="s">
        <v>662</v>
      </c>
      <c r="BW8" s="592"/>
      <c r="BX8" s="181" t="s">
        <v>12</v>
      </c>
      <c r="BY8" s="54">
        <f>Cultures!H10+Cultures!H12</f>
        <v>5</v>
      </c>
      <c r="BZ8" s="54">
        <f>Cultures!H15+Cultures!H16</f>
        <v>2</v>
      </c>
      <c r="CA8" s="54">
        <f>Cultures!H25+Cultures!H28</f>
        <v>1</v>
      </c>
      <c r="CB8" s="54">
        <f>Cultures!H34+Cultures!H43</f>
        <v>1</v>
      </c>
      <c r="CC8" s="54"/>
      <c r="CD8" s="54">
        <f>Cultures!H57</f>
        <v>1</v>
      </c>
      <c r="CE8" s="55">
        <f t="shared" si="0"/>
        <v>10</v>
      </c>
    </row>
    <row r="9" spans="1:85" x14ac:dyDescent="0.25">
      <c r="A9" s="574"/>
      <c r="B9" s="490" t="s">
        <v>743</v>
      </c>
      <c r="C9" s="113" t="s">
        <v>734</v>
      </c>
      <c r="D9" s="492"/>
      <c r="E9" s="493"/>
      <c r="F9" s="113" t="s">
        <v>734</v>
      </c>
      <c r="G9" s="492"/>
      <c r="H9" s="493"/>
      <c r="I9" s="113" t="s">
        <v>734</v>
      </c>
      <c r="J9" s="492"/>
      <c r="K9" s="493"/>
      <c r="L9" s="113" t="s">
        <v>734</v>
      </c>
      <c r="M9" s="492"/>
      <c r="N9" s="493"/>
      <c r="O9" s="113" t="s">
        <v>734</v>
      </c>
      <c r="P9" s="492"/>
      <c r="Q9" s="493"/>
      <c r="R9" s="113" t="s">
        <v>734</v>
      </c>
      <c r="S9" s="492"/>
      <c r="T9" s="493"/>
      <c r="U9" s="491" t="s">
        <v>734</v>
      </c>
      <c r="V9" s="492"/>
      <c r="W9" s="493"/>
      <c r="X9" s="113" t="s">
        <v>734</v>
      </c>
      <c r="Y9" s="492"/>
      <c r="Z9" s="493"/>
      <c r="AA9" s="113" t="s">
        <v>734</v>
      </c>
      <c r="AB9" s="492"/>
      <c r="AC9" s="493"/>
      <c r="AD9" s="113" t="s">
        <v>734</v>
      </c>
      <c r="AE9" s="492"/>
      <c r="AF9" s="493"/>
      <c r="AG9" s="113" t="s">
        <v>734</v>
      </c>
      <c r="AH9" s="492"/>
      <c r="AI9" s="493"/>
      <c r="AJ9" s="113" t="s">
        <v>734</v>
      </c>
      <c r="AK9" s="492"/>
      <c r="AL9" s="493"/>
      <c r="AM9" s="113" t="s">
        <v>734</v>
      </c>
      <c r="AN9" s="492"/>
      <c r="AO9" s="493"/>
      <c r="AP9" s="113" t="s">
        <v>734</v>
      </c>
      <c r="AQ9" s="492"/>
      <c r="AR9" s="493"/>
      <c r="AS9" s="113" t="s">
        <v>734</v>
      </c>
      <c r="AT9" s="492"/>
      <c r="AU9" s="493"/>
      <c r="AV9" s="113" t="s">
        <v>734</v>
      </c>
      <c r="AW9" s="492"/>
      <c r="AX9" s="493"/>
      <c r="AY9" s="113" t="s">
        <v>734</v>
      </c>
      <c r="AZ9" s="492"/>
      <c r="BA9" s="493"/>
      <c r="BB9" s="113" t="s">
        <v>734</v>
      </c>
      <c r="BC9" s="492"/>
      <c r="BD9" s="493"/>
      <c r="BE9" s="113" t="s">
        <v>734</v>
      </c>
      <c r="BF9" s="492"/>
      <c r="BG9" s="493"/>
      <c r="BH9" s="113" t="s">
        <v>734</v>
      </c>
      <c r="BI9" s="492"/>
      <c r="BJ9" s="493"/>
      <c r="BK9" s="113" t="s">
        <v>734</v>
      </c>
      <c r="BL9" s="492"/>
      <c r="BM9" s="493"/>
      <c r="BN9" s="113"/>
      <c r="BO9" s="492"/>
      <c r="BP9" s="493"/>
      <c r="BQ9" s="252"/>
      <c r="BR9" s="492"/>
      <c r="BS9" s="495"/>
      <c r="BT9" s="494"/>
      <c r="BU9" s="496"/>
      <c r="BW9" s="592"/>
      <c r="BX9" s="181" t="s">
        <v>13</v>
      </c>
      <c r="BY9" s="54">
        <f>Cultures!H5</f>
        <v>2</v>
      </c>
      <c r="BZ9" s="54">
        <f>Cultures!H19</f>
        <v>3</v>
      </c>
      <c r="CA9" s="54">
        <f>Cultures!H33</f>
        <v>1</v>
      </c>
      <c r="CB9" s="54">
        <f>Cultures!H37</f>
        <v>3</v>
      </c>
      <c r="CC9" s="54">
        <f>Cultures!H46</f>
        <v>8</v>
      </c>
      <c r="CD9" s="54">
        <f>Cultures!H60+Cultures!H62</f>
        <v>7</v>
      </c>
      <c r="CE9" s="351">
        <f>SUM(BY9:CD9)</f>
        <v>24</v>
      </c>
      <c r="CF9" s="68" t="s">
        <v>675</v>
      </c>
    </row>
    <row r="10" spans="1:85" ht="13.8" thickBot="1" x14ac:dyDescent="0.3">
      <c r="A10" s="575"/>
      <c r="B10" s="315" t="s">
        <v>744</v>
      </c>
      <c r="C10" s="207" t="s">
        <v>734</v>
      </c>
      <c r="D10" s="510"/>
      <c r="E10" s="74"/>
      <c r="F10" s="207" t="s">
        <v>734</v>
      </c>
      <c r="G10" s="510"/>
      <c r="H10" s="74"/>
      <c r="I10" s="207" t="s">
        <v>734</v>
      </c>
      <c r="J10" s="510"/>
      <c r="K10" s="74"/>
      <c r="L10" s="207" t="s">
        <v>734</v>
      </c>
      <c r="M10" s="510"/>
      <c r="N10" s="74"/>
      <c r="O10" s="207" t="s">
        <v>734</v>
      </c>
      <c r="P10" s="510"/>
      <c r="Q10" s="74"/>
      <c r="R10" s="207" t="s">
        <v>734</v>
      </c>
      <c r="S10" s="510"/>
      <c r="T10" s="74"/>
      <c r="U10" s="207" t="s">
        <v>734</v>
      </c>
      <c r="V10" s="510"/>
      <c r="W10" s="74"/>
      <c r="X10" s="207" t="s">
        <v>734</v>
      </c>
      <c r="Y10" s="510"/>
      <c r="Z10" s="74"/>
      <c r="AA10" s="207" t="s">
        <v>734</v>
      </c>
      <c r="AB10" s="510"/>
      <c r="AC10" s="74"/>
      <c r="AD10" s="207" t="s">
        <v>734</v>
      </c>
      <c r="AE10" s="510"/>
      <c r="AF10" s="74"/>
      <c r="AG10" s="207" t="s">
        <v>734</v>
      </c>
      <c r="AH10" s="510"/>
      <c r="AI10" s="74"/>
      <c r="AJ10" s="207" t="s">
        <v>734</v>
      </c>
      <c r="AK10" s="510"/>
      <c r="AL10" s="74"/>
      <c r="AM10" s="207" t="s">
        <v>734</v>
      </c>
      <c r="AN10" s="510"/>
      <c r="AO10" s="74"/>
      <c r="AP10" s="207" t="s">
        <v>734</v>
      </c>
      <c r="AQ10" s="510"/>
      <c r="AR10" s="74"/>
      <c r="AS10" s="207" t="s">
        <v>734</v>
      </c>
      <c r="AT10" s="510"/>
      <c r="AU10" s="74"/>
      <c r="AV10" s="207" t="s">
        <v>734</v>
      </c>
      <c r="AW10" s="510"/>
      <c r="AX10" s="74"/>
      <c r="AY10" s="207" t="s">
        <v>734</v>
      </c>
      <c r="AZ10" s="510"/>
      <c r="BA10" s="74"/>
      <c r="BB10" s="207" t="s">
        <v>734</v>
      </c>
      <c r="BC10" s="510"/>
      <c r="BD10" s="74"/>
      <c r="BE10" s="207" t="s">
        <v>734</v>
      </c>
      <c r="BF10" s="510"/>
      <c r="BG10" s="74"/>
      <c r="BH10" s="207" t="s">
        <v>734</v>
      </c>
      <c r="BI10" s="510"/>
      <c r="BJ10" s="74"/>
      <c r="BK10" s="207" t="s">
        <v>734</v>
      </c>
      <c r="BL10" s="510"/>
      <c r="BM10" s="74"/>
      <c r="BN10" s="207"/>
      <c r="BO10" s="510"/>
      <c r="BP10" s="74"/>
      <c r="BQ10" s="316"/>
      <c r="BR10" s="510"/>
      <c r="BS10" s="511"/>
      <c r="BT10" s="392"/>
      <c r="BU10" s="512"/>
      <c r="BW10" s="593"/>
      <c r="BX10" s="56" t="s">
        <v>535</v>
      </c>
      <c r="BY10" s="57">
        <f t="shared" ref="BY10:CE10" si="1">SUM(BY3:BY9)</f>
        <v>21</v>
      </c>
      <c r="BZ10" s="57">
        <f t="shared" si="1"/>
        <v>21</v>
      </c>
      <c r="CA10" s="57">
        <f t="shared" si="1"/>
        <v>21</v>
      </c>
      <c r="CB10" s="57">
        <f t="shared" si="1"/>
        <v>21</v>
      </c>
      <c r="CC10" s="57">
        <f t="shared" si="1"/>
        <v>21</v>
      </c>
      <c r="CD10" s="57">
        <f t="shared" si="1"/>
        <v>21</v>
      </c>
      <c r="CE10" s="352">
        <f t="shared" si="1"/>
        <v>126</v>
      </c>
      <c r="CF10" s="353">
        <f>CE10/6</f>
        <v>21</v>
      </c>
    </row>
    <row r="11" spans="1:85" ht="13.8" hidden="1" outlineLevel="1" thickBot="1" x14ac:dyDescent="0.3">
      <c r="A11" s="21"/>
      <c r="B11" s="501" t="s">
        <v>741</v>
      </c>
      <c r="C11" s="502" t="s">
        <v>552</v>
      </c>
      <c r="D11" s="503" t="s">
        <v>631</v>
      </c>
      <c r="E11" s="503">
        <f>_xlfn.NUMBERVALUE(MID(C11,SEARCH("Tour",C11,1)+5,3))</f>
        <v>286</v>
      </c>
      <c r="F11" s="502" t="s">
        <v>553</v>
      </c>
      <c r="G11" s="503" t="s">
        <v>631</v>
      </c>
      <c r="H11" s="503">
        <f>_xlfn.NUMBERVALUE(MID(F11,SEARCH("Tour",F11,1)+5,3))</f>
        <v>275</v>
      </c>
      <c r="I11" s="504" t="s">
        <v>554</v>
      </c>
      <c r="J11" s="503" t="s">
        <v>631</v>
      </c>
      <c r="K11" s="503">
        <f>_xlfn.NUMBERVALUE(MID(I11,SEARCH("Tour",I11,1)+5,3))</f>
        <v>233</v>
      </c>
      <c r="L11" s="502" t="s">
        <v>559</v>
      </c>
      <c r="M11" s="503" t="s">
        <v>631</v>
      </c>
      <c r="N11" s="503">
        <f>_xlfn.NUMBERVALUE(MID(L11,SEARCH("Tour",L11,1)+5,3))</f>
        <v>253</v>
      </c>
      <c r="O11" s="502" t="s">
        <v>560</v>
      </c>
      <c r="P11" s="503" t="s">
        <v>631</v>
      </c>
      <c r="Q11" s="503">
        <f>_xlfn.NUMBERVALUE(MID(O11,SEARCH("Tour",O11,1)+5,3))</f>
        <v>240</v>
      </c>
      <c r="R11" s="502" t="s">
        <v>561</v>
      </c>
      <c r="S11" s="503" t="s">
        <v>631</v>
      </c>
      <c r="T11" s="503">
        <f>_xlfn.NUMBERVALUE(MID(R11,SEARCH("Tour",R11,1)+5,3))</f>
        <v>272</v>
      </c>
      <c r="U11" s="502" t="s">
        <v>566</v>
      </c>
      <c r="V11" s="503" t="s">
        <v>631</v>
      </c>
      <c r="W11" s="503">
        <f>_xlfn.NUMBERVALUE(MID(U11,SEARCH("Tour",U11,1)+5,3))</f>
        <v>432</v>
      </c>
      <c r="X11" s="502" t="s">
        <v>623</v>
      </c>
      <c r="Y11" s="503" t="s">
        <v>631</v>
      </c>
      <c r="Z11" s="503">
        <f>_xlfn.NUMBERVALUE(MID(X11,SEARCH("Tour",X11,1)+5,3))</f>
        <v>449</v>
      </c>
      <c r="AA11" s="502" t="s">
        <v>630</v>
      </c>
      <c r="AB11" s="503" t="s">
        <v>631</v>
      </c>
      <c r="AC11" s="503">
        <f>_xlfn.NUMBERVALUE(MID(AA11,SEARCH("Tour",AA11,1)+5,3))</f>
        <v>440</v>
      </c>
      <c r="AD11" s="502" t="s">
        <v>633</v>
      </c>
      <c r="AE11" s="503" t="s">
        <v>631</v>
      </c>
      <c r="AF11" s="503">
        <f>_xlfn.NUMBERVALUE(MID(AD11,SEARCH("Tour",AD11,1)+5,3))</f>
        <v>420</v>
      </c>
      <c r="AG11" s="502" t="s">
        <v>637</v>
      </c>
      <c r="AH11" s="503" t="s">
        <v>631</v>
      </c>
      <c r="AI11" s="503">
        <f>_xlfn.NUMBERVALUE(MID(AG11,SEARCH("Tour",AG11,1)+5,3))</f>
        <v>377</v>
      </c>
      <c r="AJ11" s="502" t="s">
        <v>639</v>
      </c>
      <c r="AK11" s="503" t="s">
        <v>631</v>
      </c>
      <c r="AL11" s="503">
        <f>_xlfn.NUMBERVALUE(MID(AJ11,SEARCH("Tour",AJ11,1)+5,3))</f>
        <v>450</v>
      </c>
      <c r="AM11" s="502" t="s">
        <v>656</v>
      </c>
      <c r="AN11" s="503" t="s">
        <v>631</v>
      </c>
      <c r="AO11" s="503">
        <f>_xlfn.NUMBERVALUE(MID(AM11,SEARCH("Tour",AM11,1)+5,3))</f>
        <v>360</v>
      </c>
      <c r="AP11" s="502" t="s">
        <v>657</v>
      </c>
      <c r="AQ11" s="503" t="s">
        <v>631</v>
      </c>
      <c r="AR11" s="503">
        <f>_xlfn.NUMBERVALUE(MID(AP11,SEARCH("Tour",AP11,1)+5,3))</f>
        <v>450</v>
      </c>
      <c r="AS11" s="502" t="s">
        <v>677</v>
      </c>
      <c r="AT11" s="503" t="s">
        <v>631</v>
      </c>
      <c r="AU11" s="503">
        <f>_xlfn.NUMBERVALUE(MID(AS11,SEARCH("Tour",AS11,1)+5,3))</f>
        <v>368</v>
      </c>
      <c r="AV11" s="502" t="s">
        <v>679</v>
      </c>
      <c r="AW11" s="503" t="s">
        <v>631</v>
      </c>
      <c r="AX11" s="503">
        <f>_xlfn.NUMBERVALUE(MID(AV11,SEARCH("Tour",AV11,1)+5,3))</f>
        <v>379</v>
      </c>
      <c r="AY11" s="502" t="s">
        <v>680</v>
      </c>
      <c r="AZ11" s="503" t="s">
        <v>631</v>
      </c>
      <c r="BA11" s="503">
        <f>_xlfn.NUMBERVALUE(MID(AY11,SEARCH("Tour",AY11,1)+5,3))</f>
        <v>444</v>
      </c>
      <c r="BB11" s="502" t="s">
        <v>681</v>
      </c>
      <c r="BC11" s="503" t="s">
        <v>631</v>
      </c>
      <c r="BD11" s="503">
        <f>_xlfn.NUMBERVALUE(MID(BB11,SEARCH("Tour",BB11,1)+5,3))</f>
        <v>351</v>
      </c>
      <c r="BE11" s="502" t="s">
        <v>714</v>
      </c>
      <c r="BF11" s="503" t="s">
        <v>631</v>
      </c>
      <c r="BG11" s="503">
        <f>_xlfn.NUMBERVALUE(MID(BE11,SEARCH("Tour",BE11,1)+5,3))</f>
        <v>379</v>
      </c>
      <c r="BH11" s="502" t="s">
        <v>718</v>
      </c>
      <c r="BI11" s="503" t="s">
        <v>631</v>
      </c>
      <c r="BJ11" s="503">
        <f>_xlfn.NUMBERVALUE(MID(BH11,SEARCH("Tour",BH11,1)+5,3))</f>
        <v>449</v>
      </c>
      <c r="BK11" s="502" t="s">
        <v>736</v>
      </c>
      <c r="BL11" s="503" t="s">
        <v>631</v>
      </c>
      <c r="BM11" s="503">
        <f>_xlfn.NUMBERVALUE(MID(BK11,SEARCH("Tour",BK11,1)+5,3))</f>
        <v>354</v>
      </c>
      <c r="BN11" s="502" t="s">
        <v>736</v>
      </c>
      <c r="BO11" s="503" t="s">
        <v>631</v>
      </c>
      <c r="BP11" s="503">
        <f>_xlfn.NUMBERVALUE(MID(BN11,SEARCH("Tour",BN11,1)+5,3))</f>
        <v>354</v>
      </c>
      <c r="BQ11" s="316"/>
      <c r="BR11" s="503" t="s">
        <v>631</v>
      </c>
      <c r="BS11" s="505"/>
      <c r="BT11" s="506">
        <f>MIN(B11:BQ11)</f>
        <v>233</v>
      </c>
      <c r="BU11" s="507">
        <f>MAX(C11:BR11)</f>
        <v>450</v>
      </c>
    </row>
    <row r="12" spans="1:85" ht="13.8" collapsed="1" thickBot="1" x14ac:dyDescent="0.3">
      <c r="A12" s="21"/>
      <c r="B12" s="310"/>
      <c r="C12" s="311"/>
      <c r="D12" s="312"/>
      <c r="E12" s="312"/>
      <c r="F12" s="311"/>
      <c r="G12" s="312"/>
      <c r="H12" s="312"/>
      <c r="I12" s="311"/>
      <c r="J12" s="312"/>
      <c r="K12" s="312"/>
      <c r="L12" s="311"/>
      <c r="M12" s="312"/>
      <c r="N12" s="312"/>
      <c r="O12" s="311"/>
      <c r="P12" s="312"/>
      <c r="Q12" s="312"/>
      <c r="R12" s="311"/>
      <c r="S12" s="312"/>
      <c r="T12" s="312"/>
      <c r="U12" s="311"/>
      <c r="V12" s="312"/>
      <c r="W12" s="312"/>
      <c r="X12" s="311"/>
      <c r="Y12" s="312"/>
      <c r="Z12" s="312"/>
      <c r="AA12" s="311"/>
      <c r="AB12" s="312"/>
      <c r="AC12" s="312"/>
      <c r="AD12" s="311"/>
      <c r="AE12" s="312"/>
      <c r="AF12" s="312"/>
      <c r="AG12" s="311"/>
      <c r="AH12" s="312"/>
      <c r="AI12" s="312"/>
      <c r="AJ12" s="311"/>
      <c r="AK12" s="312"/>
      <c r="AL12" s="312"/>
      <c r="AM12" s="311"/>
      <c r="AN12" s="312"/>
      <c r="AO12" s="312"/>
      <c r="AP12" s="311"/>
      <c r="AQ12" s="312"/>
      <c r="AR12" s="312"/>
      <c r="AS12" s="311"/>
      <c r="AT12" s="312"/>
      <c r="AU12" s="312"/>
      <c r="AV12" s="311"/>
      <c r="AW12" s="312"/>
      <c r="AX12" s="312"/>
      <c r="AY12" s="311"/>
      <c r="AZ12" s="312"/>
      <c r="BA12" s="312"/>
      <c r="BB12" s="311"/>
      <c r="BC12" s="312"/>
      <c r="BD12" s="312"/>
      <c r="BE12" s="311"/>
      <c r="BF12" s="312"/>
      <c r="BG12" s="312"/>
      <c r="BH12" s="311"/>
      <c r="BI12" s="312"/>
      <c r="BJ12" s="312"/>
      <c r="BK12" s="311"/>
      <c r="BL12" s="312"/>
      <c r="BM12" s="312"/>
      <c r="BN12" s="311"/>
      <c r="BO12" s="312"/>
      <c r="BP12" s="312"/>
      <c r="BQ12" s="305"/>
      <c r="BR12" s="312"/>
      <c r="BS12" s="388"/>
      <c r="BT12" s="313"/>
      <c r="BU12" s="314"/>
    </row>
    <row r="13" spans="1:85" ht="13.8" thickBot="1" x14ac:dyDescent="0.3">
      <c r="A13" s="597" t="s">
        <v>665</v>
      </c>
      <c r="B13" s="380" t="s">
        <v>254</v>
      </c>
      <c r="C13" s="306" t="s">
        <v>632</v>
      </c>
      <c r="D13" s="307" t="s">
        <v>660</v>
      </c>
      <c r="E13" s="308">
        <v>70</v>
      </c>
      <c r="F13" s="306" t="s">
        <v>632</v>
      </c>
      <c r="G13" s="307" t="s">
        <v>660</v>
      </c>
      <c r="H13" s="308">
        <v>20</v>
      </c>
      <c r="I13" s="306" t="s">
        <v>632</v>
      </c>
      <c r="J13" s="307" t="s">
        <v>660</v>
      </c>
      <c r="K13" s="308">
        <v>20</v>
      </c>
      <c r="L13" s="306" t="s">
        <v>632</v>
      </c>
      <c r="M13" s="307" t="s">
        <v>660</v>
      </c>
      <c r="N13" s="308">
        <v>20</v>
      </c>
      <c r="O13" s="306" t="s">
        <v>632</v>
      </c>
      <c r="P13" s="307" t="s">
        <v>660</v>
      </c>
      <c r="Q13" s="308">
        <v>20</v>
      </c>
      <c r="R13" s="306" t="s">
        <v>632</v>
      </c>
      <c r="S13" s="307" t="s">
        <v>660</v>
      </c>
      <c r="T13" s="308">
        <v>40</v>
      </c>
      <c r="U13" s="306" t="s">
        <v>632</v>
      </c>
      <c r="V13" s="307" t="s">
        <v>660</v>
      </c>
      <c r="W13" s="308">
        <v>100</v>
      </c>
      <c r="X13" s="306" t="s">
        <v>632</v>
      </c>
      <c r="Y13" s="307" t="s">
        <v>660</v>
      </c>
      <c r="Z13" s="308">
        <v>100</v>
      </c>
      <c r="AA13" s="306" t="s">
        <v>632</v>
      </c>
      <c r="AB13" s="307" t="s">
        <v>660</v>
      </c>
      <c r="AC13" s="308">
        <v>250</v>
      </c>
      <c r="AD13" s="306" t="s">
        <v>632</v>
      </c>
      <c r="AE13" s="307" t="s">
        <v>660</v>
      </c>
      <c r="AF13" s="308">
        <v>250</v>
      </c>
      <c r="AG13" s="306" t="s">
        <v>632</v>
      </c>
      <c r="AH13" s="307" t="s">
        <v>660</v>
      </c>
      <c r="AI13" s="308">
        <v>100</v>
      </c>
      <c r="AJ13" s="306" t="s">
        <v>632</v>
      </c>
      <c r="AK13" s="307" t="s">
        <v>660</v>
      </c>
      <c r="AL13" s="308">
        <v>100</v>
      </c>
      <c r="AM13" s="306" t="s">
        <v>632</v>
      </c>
      <c r="AN13" s="307" t="s">
        <v>660</v>
      </c>
      <c r="AO13" s="308">
        <v>100</v>
      </c>
      <c r="AP13" s="306" t="s">
        <v>632</v>
      </c>
      <c r="AQ13" s="307" t="s">
        <v>660</v>
      </c>
      <c r="AR13" s="308">
        <v>200</v>
      </c>
      <c r="AS13" s="306" t="s">
        <v>632</v>
      </c>
      <c r="AT13" s="307" t="s">
        <v>660</v>
      </c>
      <c r="AU13" s="308">
        <v>250</v>
      </c>
      <c r="AV13" s="306" t="s">
        <v>632</v>
      </c>
      <c r="AW13" s="307" t="s">
        <v>660</v>
      </c>
      <c r="AX13" s="308">
        <v>200</v>
      </c>
      <c r="AY13" s="306" t="s">
        <v>632</v>
      </c>
      <c r="AZ13" s="307" t="s">
        <v>660</v>
      </c>
      <c r="BA13" s="308">
        <v>100</v>
      </c>
      <c r="BB13" s="306" t="s">
        <v>632</v>
      </c>
      <c r="BC13" s="307" t="s">
        <v>660</v>
      </c>
      <c r="BD13" s="308">
        <v>150</v>
      </c>
      <c r="BE13" s="306" t="s">
        <v>632</v>
      </c>
      <c r="BF13" s="307" t="s">
        <v>660</v>
      </c>
      <c r="BG13" s="308">
        <v>100</v>
      </c>
      <c r="BH13" s="306" t="s">
        <v>632</v>
      </c>
      <c r="BI13" s="307" t="s">
        <v>660</v>
      </c>
      <c r="BJ13" s="308">
        <v>200</v>
      </c>
      <c r="BK13" s="306" t="s">
        <v>632</v>
      </c>
      <c r="BL13" s="307" t="s">
        <v>660</v>
      </c>
      <c r="BM13" s="308">
        <v>100</v>
      </c>
      <c r="BN13" s="306"/>
      <c r="BO13" s="307"/>
      <c r="BP13" s="308"/>
      <c r="BQ13" s="384"/>
      <c r="BR13" s="306" t="s">
        <v>632</v>
      </c>
      <c r="BS13" s="307" t="s">
        <v>660</v>
      </c>
      <c r="BT13" s="308">
        <f t="shared" ref="BT13:BT19" si="2">MAX(B13:BQ13)</f>
        <v>250</v>
      </c>
      <c r="BU13" s="309" cm="1">
        <f t="array" aca="1" ref="BU13" ca="1">INDIRECT(ADDRESS(2,_xlfn.XMATCH(BT13,C13:BQ13,0)+2,1,FALSE),FALSE)</f>
        <v>9</v>
      </c>
    </row>
    <row r="14" spans="1:85" ht="13.8" thickBot="1" x14ac:dyDescent="0.3">
      <c r="A14" s="598"/>
      <c r="B14" s="90" t="s">
        <v>1</v>
      </c>
      <c r="C14" s="100" t="s">
        <v>24</v>
      </c>
      <c r="D14" s="100" t="str">
        <f>_xlfn.XLOOKUP(C14,Cultures!$D$4:$D$63,Cultures!$O$4:$O$63)</f>
        <v>Sci</v>
      </c>
      <c r="E14" s="249">
        <v>952</v>
      </c>
      <c r="F14" s="100" t="s">
        <v>27</v>
      </c>
      <c r="G14" s="100" t="str">
        <f>_xlfn.XLOOKUP(F14,Cultures!$D$4:$D$63,Cultures!$O$4:$O$63)</f>
        <v>Bui</v>
      </c>
      <c r="H14" s="249">
        <v>637</v>
      </c>
      <c r="I14" s="100" t="s">
        <v>27</v>
      </c>
      <c r="J14" s="100" t="str">
        <f>_xlfn.XLOOKUP(I14,Cultures!$D$4:$D$63,Cultures!$O$4:$O$63)</f>
        <v>Bui</v>
      </c>
      <c r="K14" s="249">
        <v>874</v>
      </c>
      <c r="L14" s="100" t="s">
        <v>24</v>
      </c>
      <c r="M14" s="100" t="str">
        <f>_xlfn.XLOOKUP(L14,Cultures!$D$4:$D$63,Cultures!$O$4:$O$63)</f>
        <v>Sci</v>
      </c>
      <c r="N14" s="249">
        <v>795</v>
      </c>
      <c r="O14" s="100" t="s">
        <v>27</v>
      </c>
      <c r="P14" s="100" t="str">
        <f>_xlfn.XLOOKUP(O14,Cultures!$D$4:$D$63,Cultures!$O$4:$O$63)</f>
        <v>Bui</v>
      </c>
      <c r="Q14" s="249">
        <v>984</v>
      </c>
      <c r="R14" s="100" t="s">
        <v>27</v>
      </c>
      <c r="S14" s="100" t="str">
        <f>_xlfn.XLOOKUP(R14,Cultures!$D$4:$D$63,Cultures!$O$4:$O$63)</f>
        <v>Bui</v>
      </c>
      <c r="T14" s="249">
        <v>913</v>
      </c>
      <c r="U14" s="100" t="s">
        <v>37</v>
      </c>
      <c r="V14" s="100" t="str">
        <f>_xlfn.XLOOKUP(U14,Cultures!$D$4:$D$63,Cultures!$O$4:$O$63)</f>
        <v>Mil</v>
      </c>
      <c r="W14" s="249">
        <v>1200</v>
      </c>
      <c r="X14" s="100" t="s">
        <v>48</v>
      </c>
      <c r="Y14" s="100" t="str">
        <f>_xlfn.XLOOKUP(X14,Cultures!$D$4:$D$63,Cultures!$O$4:$O$63)</f>
        <v>Mer</v>
      </c>
      <c r="Z14" s="249">
        <v>1560</v>
      </c>
      <c r="AA14" s="100" t="s">
        <v>48</v>
      </c>
      <c r="AB14" s="100" t="str">
        <f>_xlfn.XLOOKUP(AA14,Cultures!$D$4:$D$63,Cultures!$O$4:$O$63)</f>
        <v>Mer</v>
      </c>
      <c r="AC14" s="249">
        <v>1200</v>
      </c>
      <c r="AD14" s="100" t="s">
        <v>48</v>
      </c>
      <c r="AE14" s="100" t="str">
        <f>_xlfn.XLOOKUP(AD14,Cultures!$D$4:$D$63,Cultures!$O$4:$O$63)</f>
        <v>Mer</v>
      </c>
      <c r="AF14" s="249">
        <v>1400</v>
      </c>
      <c r="AG14" s="125" t="s">
        <v>30</v>
      </c>
      <c r="AH14" s="100" t="str">
        <f>_xlfn.XLOOKUP(AG14,Cultures!$D$4:$D$63,Cultures!$O$4:$O$63)</f>
        <v>Agr</v>
      </c>
      <c r="AI14" s="249">
        <v>1100</v>
      </c>
      <c r="AJ14" s="100" t="s">
        <v>44</v>
      </c>
      <c r="AK14" s="100" t="str">
        <f>_xlfn.XLOOKUP(AJ14,Cultures!$D$4:$D$63,Cultures!$O$4:$O$63)</f>
        <v>Aes</v>
      </c>
      <c r="AL14" s="249">
        <v>1350</v>
      </c>
      <c r="AM14" s="100" t="s">
        <v>21</v>
      </c>
      <c r="AN14" s="100" t="str">
        <f>_xlfn.XLOOKUP(AM14,Cultures!$D$4:$D$63,Cultures!$O$4:$O$63)</f>
        <v>Exp</v>
      </c>
      <c r="AO14" s="249">
        <v>1300</v>
      </c>
      <c r="AP14" s="100" t="s">
        <v>33</v>
      </c>
      <c r="AQ14" s="100" t="str">
        <f>_xlfn.XLOOKUP(AP14,Cultures!$D$4:$D$63,Cultures!$O$4:$O$63)</f>
        <v>Mil</v>
      </c>
      <c r="AR14" s="249">
        <v>1700</v>
      </c>
      <c r="AS14" s="100" t="s">
        <v>48</v>
      </c>
      <c r="AT14" s="100" t="str">
        <f>_xlfn.XLOOKUP(AS14,Cultures!$D$4:$D$63,Cultures!$O$4:$O$63)</f>
        <v>Mer</v>
      </c>
      <c r="AU14" s="249">
        <v>1250</v>
      </c>
      <c r="AV14" s="100" t="s">
        <v>41</v>
      </c>
      <c r="AW14" s="100" t="str">
        <f>_xlfn.XLOOKUP(AV14,Cultures!$D$4:$D$63,Cultures!$O$4:$O$63)</f>
        <v>Mer</v>
      </c>
      <c r="AX14" s="249">
        <v>1600</v>
      </c>
      <c r="AY14" s="100" t="s">
        <v>52</v>
      </c>
      <c r="AZ14" s="100" t="str">
        <f>_xlfn.XLOOKUP(AY14,Cultures!$D$4:$D$63,Cultures!$O$4:$O$63)</f>
        <v>Aes</v>
      </c>
      <c r="BA14" s="249">
        <v>1850</v>
      </c>
      <c r="BB14" s="100" t="s">
        <v>30</v>
      </c>
      <c r="BC14" s="100" t="str">
        <f>_xlfn.XLOOKUP(BB14,Cultures!$D$4:$D$63,Cultures!$O$4:$O$63)</f>
        <v>Agr</v>
      </c>
      <c r="BD14" s="249">
        <v>1200</v>
      </c>
      <c r="BE14" s="100" t="s">
        <v>21</v>
      </c>
      <c r="BF14" s="100" t="str">
        <f>_xlfn.XLOOKUP(BE14,Cultures!$D$4:$D$63,Cultures!$O$4:$O$63)</f>
        <v>Exp</v>
      </c>
      <c r="BG14" s="249">
        <v>1550</v>
      </c>
      <c r="BH14" s="100" t="s">
        <v>21</v>
      </c>
      <c r="BI14" s="100" t="str">
        <f>_xlfn.XLOOKUP(BH14,Cultures!$D$4:$D$63,Cultures!$O$4:$O$63)</f>
        <v>Exp</v>
      </c>
      <c r="BJ14" s="249">
        <v>1400</v>
      </c>
      <c r="BK14" s="100" t="s">
        <v>44</v>
      </c>
      <c r="BL14" s="100" t="str">
        <f>_xlfn.XLOOKUP(BK14,Cultures!$D$4:$D$63,Cultures!$O$4:$O$63)</f>
        <v>Aes</v>
      </c>
      <c r="BM14" s="249">
        <v>2200</v>
      </c>
      <c r="BN14" s="100"/>
      <c r="BO14" s="100"/>
      <c r="BP14" s="249"/>
      <c r="BQ14" s="382"/>
      <c r="BR14" s="100" t="str" cm="1">
        <f t="array" aca="1" ref="BR14" ca="1">INDIRECT(ADDRESS(ROW(BT14),BU14*3,1,FALSE),FALSE)</f>
        <v>Olmecs</v>
      </c>
      <c r="BS14" s="100" t="str">
        <f ca="1">_xlfn.XLOOKUP(BR14,Cultures!$D$4:$D$63,Cultures!$O$4:$O$63)</f>
        <v>Aes</v>
      </c>
      <c r="BT14" s="249">
        <f t="shared" si="2"/>
        <v>2200</v>
      </c>
      <c r="BU14" s="258" cm="1">
        <f t="array" aca="1" ref="BU14" ca="1">INDIRECT(ADDRESS(2,_xlfn.XMATCH(BT14,C14:BQ14,0)+2,1,FALSE),FALSE)</f>
        <v>21</v>
      </c>
      <c r="BY14" s="594" t="s">
        <v>666</v>
      </c>
      <c r="BZ14" s="600"/>
      <c r="CA14" s="600"/>
      <c r="CB14" s="600"/>
      <c r="CC14" s="600"/>
      <c r="CD14" s="601"/>
    </row>
    <row r="15" spans="1:85" x14ac:dyDescent="0.25">
      <c r="A15" s="598"/>
      <c r="B15" s="91" t="s">
        <v>2</v>
      </c>
      <c r="C15" s="101" t="s">
        <v>56</v>
      </c>
      <c r="D15" s="101" t="str">
        <f>_xlfn.XLOOKUP(C15,Cultures!$D$4:$D$63,Cultures!$O$4:$O$63)</f>
        <v>Exp</v>
      </c>
      <c r="E15" s="249">
        <v>1923</v>
      </c>
      <c r="F15" s="101" t="s">
        <v>56</v>
      </c>
      <c r="G15" s="101" t="str">
        <f>_xlfn.XLOOKUP(F15,Cultures!$D$4:$D$63,Cultures!$O$4:$O$63)</f>
        <v>Exp</v>
      </c>
      <c r="H15" s="249">
        <v>1502</v>
      </c>
      <c r="I15" s="101" t="s">
        <v>56</v>
      </c>
      <c r="J15" s="101" t="str">
        <f>_xlfn.XLOOKUP(I15,Cultures!$D$4:$D$63,Cultures!$O$4:$O$63)</f>
        <v>Exp</v>
      </c>
      <c r="K15" s="249">
        <v>2174</v>
      </c>
      <c r="L15" s="101" t="s">
        <v>56</v>
      </c>
      <c r="M15" s="101" t="str">
        <f>_xlfn.XLOOKUP(L15,Cultures!$D$4:$D$63,Cultures!$O$4:$O$63)</f>
        <v>Exp</v>
      </c>
      <c r="N15" s="249">
        <v>1619</v>
      </c>
      <c r="O15" s="101" t="s">
        <v>84</v>
      </c>
      <c r="P15" s="101" t="str">
        <f>_xlfn.XLOOKUP(O15,Cultures!$D$4:$D$63,Cultures!$O$4:$O$63)</f>
        <v>Aes</v>
      </c>
      <c r="Q15" s="249">
        <v>2374</v>
      </c>
      <c r="R15" s="101" t="s">
        <v>56</v>
      </c>
      <c r="S15" s="101" t="str">
        <f>_xlfn.XLOOKUP(R15,Cultures!$D$4:$D$63,Cultures!$O$4:$O$63)</f>
        <v>Exp</v>
      </c>
      <c r="T15" s="249">
        <v>2081</v>
      </c>
      <c r="U15" s="101" t="s">
        <v>88</v>
      </c>
      <c r="V15" s="101" t="str">
        <f>_xlfn.XLOOKUP(U15,Cultures!$D$4:$D$63,Cultures!$O$4:$O$63)</f>
        <v>Bui</v>
      </c>
      <c r="W15" s="249">
        <v>2680</v>
      </c>
      <c r="X15" s="101" t="s">
        <v>88</v>
      </c>
      <c r="Y15" s="101" t="str">
        <f>_xlfn.XLOOKUP(X15,Cultures!$D$4:$D$63,Cultures!$O$4:$O$63)</f>
        <v>Bui</v>
      </c>
      <c r="Z15" s="249">
        <v>2630</v>
      </c>
      <c r="AA15" s="101" t="s">
        <v>76</v>
      </c>
      <c r="AB15" s="101" t="str">
        <f>_xlfn.XLOOKUP(AA15,Cultures!$D$4:$D$63,Cultures!$O$4:$O$63)</f>
        <v>Sci</v>
      </c>
      <c r="AC15" s="249">
        <v>2150</v>
      </c>
      <c r="AD15" s="101" t="s">
        <v>76</v>
      </c>
      <c r="AE15" s="101" t="str">
        <f>_xlfn.XLOOKUP(AD15,Cultures!$D$4:$D$63,Cultures!$O$4:$O$63)</f>
        <v>Sci</v>
      </c>
      <c r="AF15" s="249">
        <v>2500</v>
      </c>
      <c r="AG15" s="101" t="s">
        <v>68</v>
      </c>
      <c r="AH15" s="101" t="str">
        <f>_xlfn.XLOOKUP(AG15,Cultures!$D$4:$D$63,Cultures!$O$4:$O$63)</f>
        <v>Agr</v>
      </c>
      <c r="AI15" s="249">
        <v>2550</v>
      </c>
      <c r="AJ15" s="101" t="s">
        <v>92</v>
      </c>
      <c r="AK15" s="101" t="str">
        <f>_xlfn.XLOOKUP(AJ15,Cultures!$D$4:$D$63,Cultures!$O$4:$O$63)</f>
        <v>Exp</v>
      </c>
      <c r="AL15" s="249">
        <v>2750</v>
      </c>
      <c r="AM15" s="101" t="s">
        <v>56</v>
      </c>
      <c r="AN15" s="101" t="str">
        <f>_xlfn.XLOOKUP(AM15,Cultures!$D$4:$D$63,Cultures!$O$4:$O$63)</f>
        <v>Exp</v>
      </c>
      <c r="AO15" s="249">
        <v>2850</v>
      </c>
      <c r="AP15" s="101" t="s">
        <v>64</v>
      </c>
      <c r="AQ15" s="101" t="str">
        <f>_xlfn.XLOOKUP(AP15,Cultures!$D$4:$D$63,Cultures!$O$4:$O$63)</f>
        <v>Mer</v>
      </c>
      <c r="AR15" s="249">
        <v>3100</v>
      </c>
      <c r="AS15" s="101" t="s">
        <v>56</v>
      </c>
      <c r="AT15" s="101" t="str">
        <f>_xlfn.XLOOKUP(AS15,Cultures!$D$4:$D$63,Cultures!$O$4:$O$63)</f>
        <v>Exp</v>
      </c>
      <c r="AU15" s="249">
        <v>3200</v>
      </c>
      <c r="AV15" s="101" t="s">
        <v>84</v>
      </c>
      <c r="AW15" s="101" t="str">
        <f>_xlfn.XLOOKUP(AV15,Cultures!$D$4:$D$63,Cultures!$O$4:$O$63)</f>
        <v>Aes</v>
      </c>
      <c r="AX15" s="249">
        <v>2900</v>
      </c>
      <c r="AY15" s="101" t="s">
        <v>84</v>
      </c>
      <c r="AZ15" s="101" t="str">
        <f>_xlfn.XLOOKUP(AY15,Cultures!$D$4:$D$63,Cultures!$O$4:$O$63)</f>
        <v>Aes</v>
      </c>
      <c r="BA15" s="249">
        <v>3900</v>
      </c>
      <c r="BB15" s="101" t="s">
        <v>60</v>
      </c>
      <c r="BC15" s="101" t="str">
        <f>_xlfn.XLOOKUP(BB15,Cultures!$D$4:$D$63,Cultures!$O$4:$O$63)</f>
        <v>Mer</v>
      </c>
      <c r="BD15" s="249">
        <v>2500</v>
      </c>
      <c r="BE15" s="101" t="s">
        <v>72</v>
      </c>
      <c r="BF15" s="101" t="str">
        <f>_xlfn.XLOOKUP(BE15,Cultures!$D$4:$D$63,Cultures!$O$4:$O$63)</f>
        <v>Mil</v>
      </c>
      <c r="BG15" s="249">
        <v>3100</v>
      </c>
      <c r="BH15" s="101" t="s">
        <v>80</v>
      </c>
      <c r="BI15" s="101" t="str">
        <f>_xlfn.XLOOKUP(BH15,Cultures!$D$4:$D$63,Cultures!$O$4:$O$63)</f>
        <v>Mil</v>
      </c>
      <c r="BJ15" s="249">
        <v>2550</v>
      </c>
      <c r="BK15" s="101" t="s">
        <v>76</v>
      </c>
      <c r="BL15" s="101" t="str">
        <f>_xlfn.XLOOKUP(BK15,Cultures!$D$4:$D$63,Cultures!$O$4:$O$63)</f>
        <v>Sci</v>
      </c>
      <c r="BM15" s="249">
        <v>3650</v>
      </c>
      <c r="BN15" s="101"/>
      <c r="BO15" s="101"/>
      <c r="BP15" s="249"/>
      <c r="BQ15" s="382"/>
      <c r="BR15" s="101" t="str" cm="1">
        <f t="array" aca="1" ref="BR15" ca="1">INDIRECT(ADDRESS(ROW(BT15),BU15*3,1,FALSE),FALSE)</f>
        <v>Mauryans</v>
      </c>
      <c r="BS15" s="101" t="str">
        <f ca="1">_xlfn.XLOOKUP(BR15,Cultures!$D$4:$D$63,Cultures!$O$4:$O$63)</f>
        <v>Aes</v>
      </c>
      <c r="BT15" s="249">
        <f t="shared" si="2"/>
        <v>3900</v>
      </c>
      <c r="BU15" s="258" cm="1">
        <f t="array" aca="1" ref="BU15" ca="1">INDIRECT(ADDRESS(2,_xlfn.XMATCH(BT15,C15:BQ15,0)+2,1,FALSE),FALSE)</f>
        <v>17</v>
      </c>
      <c r="BW15" s="330" t="str">
        <f>LEFT(BX15,3)</f>
        <v>Bui</v>
      </c>
      <c r="BX15" s="128" t="s">
        <v>8</v>
      </c>
      <c r="BY15" s="336">
        <f t="shared" ref="BY15:BY21" ca="1" si="3">_xlfn.MINIFS(Fam_1_Ancient,Aff_1_Ancient,$BW15)</f>
        <v>617</v>
      </c>
      <c r="BZ15" s="336">
        <f ca="1">_xlfn.MINIFS(Fam_2_Classical,Aff_2_Classical,$BW15)</f>
        <v>1070</v>
      </c>
      <c r="CA15" s="336">
        <f t="shared" ref="CA15:CA21" ca="1" si="4">_xlfn.MINIFS(Fam_3_Medieval,Aff_3_Medieval,$BW15)</f>
        <v>843</v>
      </c>
      <c r="CB15" s="336">
        <f t="shared" ref="CB15:CB21" ca="1" si="5">_xlfn.MINIFS(Fam_4_Early_Modern,Aff_4_Early_Modern,$BW15)</f>
        <v>982</v>
      </c>
      <c r="CC15" s="336">
        <f t="shared" ref="CC15:CC21" ca="1" si="6">_xlfn.MINIFS(Fam_5_Industrial,Aff_5_Industrial,$BW15)</f>
        <v>1063</v>
      </c>
      <c r="CD15" s="337">
        <f t="shared" ref="CD15:CD21" ca="1" si="7">_xlfn.MINIFS(Fam_6_Contemporary,Aff_6_Contemporary,$BW15)</f>
        <v>3350</v>
      </c>
      <c r="CG15" s="479" t="s">
        <v>721</v>
      </c>
    </row>
    <row r="16" spans="1:85" x14ac:dyDescent="0.25">
      <c r="A16" s="598"/>
      <c r="B16" s="92" t="s">
        <v>3</v>
      </c>
      <c r="C16" s="102" t="s">
        <v>108</v>
      </c>
      <c r="D16" s="102" t="str">
        <f>_xlfn.XLOOKUP(C16,Cultures!$D$4:$D$63,Cultures!$O$4:$O$63)</f>
        <v>Aes</v>
      </c>
      <c r="E16" s="249">
        <v>3149</v>
      </c>
      <c r="F16" s="102" t="s">
        <v>124</v>
      </c>
      <c r="G16" s="102" t="str">
        <f>_xlfn.XLOOKUP(F16,Cultures!$D$4:$D$63,Cultures!$O$4:$O$63)</f>
        <v>Exp</v>
      </c>
      <c r="H16" s="249">
        <v>2750</v>
      </c>
      <c r="I16" s="102" t="s">
        <v>116</v>
      </c>
      <c r="J16" s="102" t="str">
        <f>_xlfn.XLOOKUP(I16,Cultures!$D$4:$D$63,Cultures!$O$4:$O$63)</f>
        <v>Bui</v>
      </c>
      <c r="K16" s="249">
        <v>3584</v>
      </c>
      <c r="L16" s="102" t="s">
        <v>116</v>
      </c>
      <c r="M16" s="102" t="str">
        <f>_xlfn.XLOOKUP(L16,Cultures!$D$4:$D$63,Cultures!$O$4:$O$63)</f>
        <v>Bui</v>
      </c>
      <c r="N16" s="249">
        <v>2462</v>
      </c>
      <c r="O16" s="102" t="s">
        <v>116</v>
      </c>
      <c r="P16" s="102" t="str">
        <f>_xlfn.XLOOKUP(O16,Cultures!$D$4:$D$63,Cultures!$O$4:$O$63)</f>
        <v>Bui</v>
      </c>
      <c r="Q16" s="249">
        <v>3282</v>
      </c>
      <c r="R16" s="102" t="s">
        <v>112</v>
      </c>
      <c r="S16" s="102" t="str">
        <f>_xlfn.XLOOKUP(R16,Cultures!$D$4:$D$63,Cultures!$O$4:$O$63)</f>
        <v>Mer</v>
      </c>
      <c r="T16" s="249">
        <v>3252</v>
      </c>
      <c r="U16" s="102" t="s">
        <v>108</v>
      </c>
      <c r="V16" s="102" t="str">
        <f>_xlfn.XLOOKUP(U16,Cultures!$D$4:$D$63,Cultures!$O$4:$O$63)</f>
        <v>Aes</v>
      </c>
      <c r="W16" s="249">
        <v>4430</v>
      </c>
      <c r="X16" s="102" t="s">
        <v>108</v>
      </c>
      <c r="Y16" s="102" t="str">
        <f>_xlfn.XLOOKUP(X16,Cultures!$D$4:$D$63,Cultures!$O$4:$O$63)</f>
        <v>Aes</v>
      </c>
      <c r="Z16" s="249">
        <v>3830</v>
      </c>
      <c r="AA16" s="102" t="s">
        <v>108</v>
      </c>
      <c r="AB16" s="102" t="str">
        <f>_xlfn.XLOOKUP(AA16,Cultures!$D$4:$D$63,Cultures!$O$4:$O$63)</f>
        <v>Aes</v>
      </c>
      <c r="AC16" s="249">
        <v>3600</v>
      </c>
      <c r="AD16" s="102" t="s">
        <v>108</v>
      </c>
      <c r="AE16" s="102" t="str">
        <f>_xlfn.XLOOKUP(AD16,Cultures!$D$4:$D$63,Cultures!$O$4:$O$63)</f>
        <v>Aes</v>
      </c>
      <c r="AF16" s="249">
        <v>3400</v>
      </c>
      <c r="AG16" s="102" t="s">
        <v>116</v>
      </c>
      <c r="AH16" s="102" t="str">
        <f>_xlfn.XLOOKUP(AG16,Cultures!$D$4:$D$63,Cultures!$O$4:$O$63)</f>
        <v>Bui</v>
      </c>
      <c r="AI16" s="249">
        <v>3670</v>
      </c>
      <c r="AJ16" s="102" t="s">
        <v>116</v>
      </c>
      <c r="AK16" s="102" t="str">
        <f>_xlfn.XLOOKUP(AJ16,Cultures!$D$4:$D$63,Cultures!$O$4:$O$63)</f>
        <v>Bui</v>
      </c>
      <c r="AL16" s="249">
        <v>4170</v>
      </c>
      <c r="AM16" s="102" t="s">
        <v>104</v>
      </c>
      <c r="AN16" s="102" t="str">
        <f>_xlfn.XLOOKUP(AM16,Cultures!$D$4:$D$63,Cultures!$O$4:$O$63)</f>
        <v>Agr</v>
      </c>
      <c r="AO16" s="249">
        <v>4450</v>
      </c>
      <c r="AP16" s="102" t="s">
        <v>132</v>
      </c>
      <c r="AQ16" s="102" t="str">
        <f>_xlfn.XLOOKUP(AP16,Cultures!$D$4:$D$63,Cultures!$O$4:$O$63)</f>
        <v>Sci</v>
      </c>
      <c r="AR16" s="249">
        <v>4450</v>
      </c>
      <c r="AS16" s="102" t="s">
        <v>124</v>
      </c>
      <c r="AT16" s="102" t="str">
        <f>_xlfn.XLOOKUP(AS16,Cultures!$D$4:$D$63,Cultures!$O$4:$O$63)</f>
        <v>Exp</v>
      </c>
      <c r="AU16" s="249">
        <v>4450</v>
      </c>
      <c r="AV16" s="102" t="s">
        <v>104</v>
      </c>
      <c r="AW16" s="102" t="str">
        <f>_xlfn.XLOOKUP(AV16,Cultures!$D$4:$D$63,Cultures!$O$4:$O$63)</f>
        <v>Agr</v>
      </c>
      <c r="AX16" s="249">
        <v>4750</v>
      </c>
      <c r="AY16" s="102" t="s">
        <v>108</v>
      </c>
      <c r="AZ16" s="102" t="str">
        <f>_xlfn.XLOOKUP(AY16,Cultures!$D$4:$D$63,Cultures!$O$4:$O$63)</f>
        <v>Aes</v>
      </c>
      <c r="BA16" s="249">
        <v>5400</v>
      </c>
      <c r="BB16" s="102" t="s">
        <v>116</v>
      </c>
      <c r="BC16" s="102" t="str">
        <f>_xlfn.XLOOKUP(BB16,Cultures!$D$4:$D$63,Cultures!$O$4:$O$63)</f>
        <v>Bui</v>
      </c>
      <c r="BD16" s="249">
        <v>3720</v>
      </c>
      <c r="BE16" s="102" t="s">
        <v>96</v>
      </c>
      <c r="BF16" s="102" t="str">
        <f>_xlfn.XLOOKUP(BE16,Cultures!$D$4:$D$63,Cultures!$O$4:$O$63)</f>
        <v>Mil</v>
      </c>
      <c r="BG16" s="249">
        <v>4700</v>
      </c>
      <c r="BH16" s="102" t="s">
        <v>108</v>
      </c>
      <c r="BI16" s="102" t="str">
        <f>_xlfn.XLOOKUP(BH16,Cultures!$D$4:$D$63,Cultures!$O$4:$O$63)</f>
        <v>Aes</v>
      </c>
      <c r="BJ16" s="249">
        <v>3750</v>
      </c>
      <c r="BK16" s="102" t="s">
        <v>120</v>
      </c>
      <c r="BL16" s="102" t="str">
        <f>_xlfn.XLOOKUP(BK16,Cultures!$D$4:$D$63,Cultures!$O$4:$O$63)</f>
        <v>Mil</v>
      </c>
      <c r="BM16" s="249">
        <v>5150</v>
      </c>
      <c r="BN16" s="102"/>
      <c r="BO16" s="102"/>
      <c r="BP16" s="249"/>
      <c r="BQ16" s="382"/>
      <c r="BR16" s="102" t="str" cm="1">
        <f t="array" aca="1" ref="BR16" ca="1">INDIRECT(ADDRESS(ROW(BT16),BU16*3,1,FALSE),FALSE)</f>
        <v>Franks</v>
      </c>
      <c r="BS16" s="102" t="str">
        <f ca="1">_xlfn.XLOOKUP(BR16,Cultures!$D$4:$D$63,Cultures!$O$4:$O$63)</f>
        <v>Aes</v>
      </c>
      <c r="BT16" s="249">
        <f t="shared" si="2"/>
        <v>5400</v>
      </c>
      <c r="BU16" s="258" cm="1">
        <f t="array" aca="1" ref="BU16" ca="1">INDIRECT(ADDRESS(2,_xlfn.XMATCH(BT16,C16:BQ16,0)+2,1,FALSE),FALSE)</f>
        <v>17</v>
      </c>
      <c r="BW16" s="181" t="str">
        <f t="shared" ref="BW16:BW21" si="8">LEFT(BX16,3)</f>
        <v>Agr</v>
      </c>
      <c r="BX16" s="89" t="s">
        <v>9</v>
      </c>
      <c r="BY16" s="338">
        <f t="shared" ca="1" si="3"/>
        <v>1000</v>
      </c>
      <c r="BZ16" s="338">
        <f t="shared" ref="BZ16:BZ21" ca="1" si="9">_xlfn.MINIFS($H$45:$H$59,$G$45:$G$59,$BW16)</f>
        <v>1450</v>
      </c>
      <c r="CA16" s="338">
        <f t="shared" ca="1" si="4"/>
        <v>1600</v>
      </c>
      <c r="CB16" s="338">
        <f t="shared" ca="1" si="5"/>
        <v>2050</v>
      </c>
      <c r="CC16" s="338">
        <f t="shared" ca="1" si="6"/>
        <v>2200</v>
      </c>
      <c r="CD16" s="339">
        <f t="shared" ca="1" si="7"/>
        <v>3000</v>
      </c>
      <c r="CG16" s="480" t="s">
        <v>719</v>
      </c>
    </row>
    <row r="17" spans="1:85" x14ac:dyDescent="0.25">
      <c r="A17" s="598"/>
      <c r="B17" s="93" t="s">
        <v>4</v>
      </c>
      <c r="C17" s="103" t="s">
        <v>148</v>
      </c>
      <c r="D17" s="103" t="str">
        <f>_xlfn.XLOOKUP(C17,Cultures!$D$4:$D$63,Cultures!$O$4:$O$63)</f>
        <v>Sci</v>
      </c>
      <c r="E17" s="249">
        <v>4303</v>
      </c>
      <c r="F17" s="103" t="s">
        <v>148</v>
      </c>
      <c r="G17" s="103" t="str">
        <f>_xlfn.XLOOKUP(F17,Cultures!$D$4:$D$63,Cultures!$O$4:$O$63)</f>
        <v>Sci</v>
      </c>
      <c r="H17" s="249">
        <v>4069</v>
      </c>
      <c r="I17" s="103" t="s">
        <v>164</v>
      </c>
      <c r="J17" s="103" t="str">
        <f>_xlfn.XLOOKUP(I17,Cultures!$D$4:$D$63,Cultures!$O$4:$O$63)</f>
        <v>Mil</v>
      </c>
      <c r="K17" s="249">
        <v>4655</v>
      </c>
      <c r="L17" s="103" t="s">
        <v>152</v>
      </c>
      <c r="M17" s="103" t="str">
        <f>_xlfn.XLOOKUP(L17,Cultures!$D$4:$D$63,Cultures!$O$4:$O$63)</f>
        <v>Aes</v>
      </c>
      <c r="N17" s="249">
        <v>3924</v>
      </c>
      <c r="O17" s="103" t="s">
        <v>152</v>
      </c>
      <c r="P17" s="103" t="str">
        <f>_xlfn.XLOOKUP(O17,Cultures!$D$4:$D$63,Cultures!$O$4:$O$63)</f>
        <v>Aes</v>
      </c>
      <c r="Q17" s="249">
        <v>4482</v>
      </c>
      <c r="R17" s="103" t="s">
        <v>156</v>
      </c>
      <c r="S17" s="103" t="str">
        <f>_xlfn.XLOOKUP(R17,Cultures!$D$4:$D$63,Cultures!$O$4:$O$63)</f>
        <v>Bui</v>
      </c>
      <c r="T17" s="249">
        <v>4234</v>
      </c>
      <c r="U17" s="103" t="s">
        <v>140</v>
      </c>
      <c r="V17" s="103" t="str">
        <f>_xlfn.XLOOKUP(U17,Cultures!$D$4:$D$63,Cultures!$O$4:$O$63)</f>
        <v>Aes</v>
      </c>
      <c r="W17" s="249">
        <v>5930</v>
      </c>
      <c r="X17" s="103" t="s">
        <v>148</v>
      </c>
      <c r="Y17" s="103" t="str">
        <f>_xlfn.XLOOKUP(X17,Cultures!$D$4:$D$63,Cultures!$O$4:$O$63)</f>
        <v>Sci</v>
      </c>
      <c r="Z17" s="249">
        <v>5080</v>
      </c>
      <c r="AA17" s="103" t="s">
        <v>156</v>
      </c>
      <c r="AB17" s="103" t="str">
        <f>_xlfn.XLOOKUP(AA17,Cultures!$D$4:$D$63,Cultures!$O$4:$O$63)</f>
        <v>Bui</v>
      </c>
      <c r="AC17" s="249">
        <v>4710</v>
      </c>
      <c r="AD17" s="103" t="s">
        <v>156</v>
      </c>
      <c r="AE17" s="103" t="str">
        <f>_xlfn.XLOOKUP(AD17,Cultures!$D$4:$D$63,Cultures!$O$4:$O$63)</f>
        <v>Bui</v>
      </c>
      <c r="AF17" s="249">
        <v>4470</v>
      </c>
      <c r="AG17" s="103" t="s">
        <v>152</v>
      </c>
      <c r="AH17" s="103" t="str">
        <f>_xlfn.XLOOKUP(AG17,Cultures!$D$4:$D$63,Cultures!$O$4:$O$63)</f>
        <v>Aes</v>
      </c>
      <c r="AI17" s="249">
        <v>5520</v>
      </c>
      <c r="AJ17" s="103" t="s">
        <v>140</v>
      </c>
      <c r="AK17" s="103" t="str">
        <f>_xlfn.XLOOKUP(AJ17,Cultures!$D$4:$D$63,Cultures!$O$4:$O$63)</f>
        <v>Aes</v>
      </c>
      <c r="AL17" s="249">
        <v>5420</v>
      </c>
      <c r="AM17" s="103" t="s">
        <v>156</v>
      </c>
      <c r="AN17" s="103" t="str">
        <f>_xlfn.XLOOKUP(AM17,Cultures!$D$4:$D$63,Cultures!$O$4:$O$63)</f>
        <v>Bui</v>
      </c>
      <c r="AO17" s="249">
        <v>5960</v>
      </c>
      <c r="AP17" s="103" t="s">
        <v>164</v>
      </c>
      <c r="AQ17" s="103" t="str">
        <f>_xlfn.XLOOKUP(AP17,Cultures!$D$4:$D$63,Cultures!$O$4:$O$63)</f>
        <v>Mil</v>
      </c>
      <c r="AR17" s="249">
        <v>5900</v>
      </c>
      <c r="AS17" s="103" t="s">
        <v>152</v>
      </c>
      <c r="AT17" s="103" t="str">
        <f>_xlfn.XLOOKUP(AS17,Cultures!$D$4:$D$63,Cultures!$O$4:$O$63)</f>
        <v>Aes</v>
      </c>
      <c r="AU17" s="249">
        <v>6800</v>
      </c>
      <c r="AV17" s="103" t="s">
        <v>136</v>
      </c>
      <c r="AW17" s="103" t="str">
        <f>_xlfn.XLOOKUP(AV17,Cultures!$D$4:$D$63,Cultures!$O$4:$O$63)</f>
        <v>Mer</v>
      </c>
      <c r="AX17" s="249">
        <v>6150</v>
      </c>
      <c r="AY17" s="103" t="s">
        <v>164</v>
      </c>
      <c r="AZ17" s="103" t="str">
        <f>_xlfn.XLOOKUP(AY17,Cultures!$D$4:$D$63,Cultures!$O$4:$O$63)</f>
        <v>Mil</v>
      </c>
      <c r="BA17" s="249">
        <v>6800</v>
      </c>
      <c r="BB17" s="103" t="s">
        <v>140</v>
      </c>
      <c r="BC17" s="103" t="str">
        <f>_xlfn.XLOOKUP(BB17,Cultures!$D$4:$D$63,Cultures!$O$4:$O$63)</f>
        <v>Aes</v>
      </c>
      <c r="BD17" s="249">
        <v>5120</v>
      </c>
      <c r="BE17" s="103" t="s">
        <v>160</v>
      </c>
      <c r="BF17" s="103" t="str">
        <f>_xlfn.XLOOKUP(BE17,Cultures!$D$4:$D$63,Cultures!$O$4:$O$63)</f>
        <v>Exp</v>
      </c>
      <c r="BG17" s="249">
        <v>6050</v>
      </c>
      <c r="BH17" s="103" t="s">
        <v>152</v>
      </c>
      <c r="BI17" s="103" t="str">
        <f>_xlfn.XLOOKUP(BH17,Cultures!$D$4:$D$63,Cultures!$O$4:$O$63)</f>
        <v>Aes</v>
      </c>
      <c r="BJ17" s="249">
        <v>4850</v>
      </c>
      <c r="BK17" s="103" t="s">
        <v>144</v>
      </c>
      <c r="BL17" s="103" t="str">
        <f>_xlfn.XLOOKUP(BK17,Cultures!$D$4:$D$63,Cultures!$O$4:$O$63)</f>
        <v>Agr</v>
      </c>
      <c r="BM17" s="249">
        <v>7200</v>
      </c>
      <c r="BN17" s="103"/>
      <c r="BO17" s="103"/>
      <c r="BP17" s="249"/>
      <c r="BQ17" s="382"/>
      <c r="BR17" s="103" t="str" cm="1">
        <f t="array" aca="1" ref="BR17" ca="1">INDIRECT(ADDRESS(ROW(BT17),BU17*3,1,FALSE),FALSE)</f>
        <v>Haudenosaunee</v>
      </c>
      <c r="BS17" s="103" t="str">
        <f ca="1">_xlfn.XLOOKUP(BR17,Cultures!$D$4:$D$63,Cultures!$O$4:$O$63)</f>
        <v>Agr</v>
      </c>
      <c r="BT17" s="249">
        <f t="shared" si="2"/>
        <v>7200</v>
      </c>
      <c r="BU17" s="258" cm="1">
        <f t="array" aca="1" ref="BU17" ca="1">INDIRECT(ADDRESS(2,_xlfn.XMATCH(BT17,C17:BQ17,0)+2,1,FALSE),FALSE)</f>
        <v>21</v>
      </c>
      <c r="BW17" s="181" t="str">
        <f t="shared" si="8"/>
        <v>Exp</v>
      </c>
      <c r="BX17" s="89" t="s">
        <v>10</v>
      </c>
      <c r="BY17" s="338">
        <f t="shared" ca="1" si="3"/>
        <v>1200</v>
      </c>
      <c r="BZ17" s="338">
        <f t="shared" ca="1" si="9"/>
        <v>824</v>
      </c>
      <c r="CA17" s="338">
        <f t="shared" ca="1" si="4"/>
        <v>1248</v>
      </c>
      <c r="CB17" s="338">
        <f t="shared" ca="1" si="5"/>
        <v>1350</v>
      </c>
      <c r="CC17" s="338">
        <f t="shared" ca="1" si="6"/>
        <v>1100</v>
      </c>
      <c r="CD17" s="339">
        <f t="shared" ca="1" si="7"/>
        <v>2100</v>
      </c>
      <c r="CG17" s="483" t="s">
        <v>720</v>
      </c>
    </row>
    <row r="18" spans="1:85" x14ac:dyDescent="0.25">
      <c r="A18" s="598"/>
      <c r="B18" s="94" t="s">
        <v>5</v>
      </c>
      <c r="C18" s="104" t="s">
        <v>200</v>
      </c>
      <c r="D18" s="104" t="str">
        <f>_xlfn.XLOOKUP(C18,Cultures!$D$4:$D$63,Cultures!$O$4:$O$63)</f>
        <v>Bui</v>
      </c>
      <c r="E18" s="249">
        <v>5366</v>
      </c>
      <c r="F18" s="104" t="s">
        <v>184</v>
      </c>
      <c r="G18" s="104" t="str">
        <f>_xlfn.XLOOKUP(F18,Cultures!$D$4:$D$63,Cultures!$O$4:$O$63)</f>
        <v>Sci</v>
      </c>
      <c r="H18" s="249">
        <v>6433</v>
      </c>
      <c r="I18" s="104" t="s">
        <v>184</v>
      </c>
      <c r="J18" s="104" t="str">
        <f>_xlfn.XLOOKUP(I18,Cultures!$D$4:$D$63,Cultures!$O$4:$O$63)</f>
        <v>Sci</v>
      </c>
      <c r="K18" s="249">
        <v>5927</v>
      </c>
      <c r="L18" s="104" t="s">
        <v>184</v>
      </c>
      <c r="M18" s="104" t="str">
        <f>_xlfn.XLOOKUP(L18,Cultures!$D$4:$D$63,Cultures!$O$4:$O$63)</f>
        <v>Sci</v>
      </c>
      <c r="N18" s="249">
        <v>5984</v>
      </c>
      <c r="O18" s="104" t="s">
        <v>184</v>
      </c>
      <c r="P18" s="104" t="str">
        <f>_xlfn.XLOOKUP(O18,Cultures!$D$4:$D$63,Cultures!$O$4:$O$63)</f>
        <v>Sci</v>
      </c>
      <c r="Q18" s="249">
        <v>5839</v>
      </c>
      <c r="R18" s="104" t="s">
        <v>200</v>
      </c>
      <c r="S18" s="104" t="str">
        <f>_xlfn.XLOOKUP(R18,Cultures!$D$4:$D$63,Cultures!$O$4:$O$63)</f>
        <v>Bui</v>
      </c>
      <c r="T18" s="249">
        <v>5389</v>
      </c>
      <c r="U18" s="104" t="s">
        <v>184</v>
      </c>
      <c r="V18" s="104" t="str">
        <f>_xlfn.XLOOKUP(U18,Cultures!$D$4:$D$63,Cultures!$O$4:$O$63)</f>
        <v>Sci</v>
      </c>
      <c r="W18" s="249">
        <v>7480</v>
      </c>
      <c r="X18" s="104" t="s">
        <v>184</v>
      </c>
      <c r="Y18" s="104" t="str">
        <f>_xlfn.XLOOKUP(X18,Cultures!$D$4:$D$63,Cultures!$O$4:$O$63)</f>
        <v>Sci</v>
      </c>
      <c r="Z18" s="249">
        <v>6730</v>
      </c>
      <c r="AA18" s="104" t="s">
        <v>200</v>
      </c>
      <c r="AB18" s="104" t="str">
        <f>_xlfn.XLOOKUP(AA18,Cultures!$D$4:$D$63,Cultures!$O$4:$O$63)</f>
        <v>Bui</v>
      </c>
      <c r="AC18" s="249">
        <v>6230</v>
      </c>
      <c r="AD18" s="104" t="s">
        <v>176</v>
      </c>
      <c r="AE18" s="104" t="str">
        <f>_xlfn.XLOOKUP(AD18,Cultures!$D$4:$D$63,Cultures!$O$4:$O$63)</f>
        <v>Aes</v>
      </c>
      <c r="AF18" s="249">
        <v>7370</v>
      </c>
      <c r="AG18" s="104" t="s">
        <v>208</v>
      </c>
      <c r="AH18" s="104" t="str">
        <f>_xlfn.XLOOKUP(AG18,Cultures!$D$4:$D$63,Cultures!$O$4:$O$63)</f>
        <v>Bui</v>
      </c>
      <c r="AI18" s="249">
        <v>7240</v>
      </c>
      <c r="AJ18" s="104" t="s">
        <v>192</v>
      </c>
      <c r="AK18" s="104" t="str">
        <f>_xlfn.XLOOKUP(AJ18,Cultures!$D$4:$D$63,Cultures!$O$4:$O$63)</f>
        <v>Exp</v>
      </c>
      <c r="AL18" s="249">
        <v>7370</v>
      </c>
      <c r="AM18" s="104" t="s">
        <v>192</v>
      </c>
      <c r="AN18" s="104" t="str">
        <f>_xlfn.XLOOKUP(AM18,Cultures!$D$4:$D$63,Cultures!$O$4:$O$63)</f>
        <v>Exp</v>
      </c>
      <c r="AO18" s="249">
        <v>7060</v>
      </c>
      <c r="AP18" s="104" t="s">
        <v>212</v>
      </c>
      <c r="AQ18" s="104" t="str">
        <f>_xlfn.XLOOKUP(AP18,Cultures!$D$4:$D$63,Cultures!$O$4:$O$63)</f>
        <v>Mil</v>
      </c>
      <c r="AR18" s="249">
        <v>7950</v>
      </c>
      <c r="AS18" s="104" t="s">
        <v>184</v>
      </c>
      <c r="AT18" s="104" t="str">
        <f>_xlfn.XLOOKUP(AS18,Cultures!$D$4:$D$63,Cultures!$O$4:$O$63)</f>
        <v>Sci</v>
      </c>
      <c r="AU18" s="249">
        <v>10700</v>
      </c>
      <c r="AV18" s="104" t="s">
        <v>180</v>
      </c>
      <c r="AW18" s="104" t="str">
        <f>_xlfn.XLOOKUP(AV18,Cultures!$D$4:$D$63,Cultures!$O$4:$O$63)</f>
        <v>Exp</v>
      </c>
      <c r="AX18" s="249">
        <v>8000</v>
      </c>
      <c r="AY18" s="104" t="s">
        <v>176</v>
      </c>
      <c r="AZ18" s="104" t="str">
        <f>_xlfn.XLOOKUP(AY18,Cultures!$D$4:$D$63,Cultures!$O$4:$O$63)</f>
        <v>Aes</v>
      </c>
      <c r="BA18" s="249">
        <v>8150</v>
      </c>
      <c r="BB18" s="104" t="s">
        <v>196</v>
      </c>
      <c r="BC18" s="104" t="str">
        <f>_xlfn.XLOOKUP(BB18,Cultures!$D$4:$D$63,Cultures!$O$4:$O$63)</f>
        <v>Agr</v>
      </c>
      <c r="BD18" s="249">
        <v>7320</v>
      </c>
      <c r="BE18" s="104" t="s">
        <v>204</v>
      </c>
      <c r="BF18" s="104" t="str">
        <f>_xlfn.XLOOKUP(BE18,Cultures!$D$4:$D$63,Cultures!$O$4:$O$63)</f>
        <v>Exp</v>
      </c>
      <c r="BG18" s="249">
        <v>7900</v>
      </c>
      <c r="BH18" s="104" t="s">
        <v>184</v>
      </c>
      <c r="BI18" s="104" t="str">
        <f>_xlfn.XLOOKUP(BH18,Cultures!$D$4:$D$63,Cultures!$O$4:$O$63)</f>
        <v>Sci</v>
      </c>
      <c r="BJ18" s="249">
        <v>6700</v>
      </c>
      <c r="BK18" s="104" t="s">
        <v>188</v>
      </c>
      <c r="BL18" s="104" t="str">
        <f>_xlfn.XLOOKUP(BK18,Cultures!$D$4:$D$63,Cultures!$O$4:$O$63)</f>
        <v>Mil</v>
      </c>
      <c r="BM18" s="249">
        <v>10550</v>
      </c>
      <c r="BN18" s="104"/>
      <c r="BO18" s="104"/>
      <c r="BP18" s="249"/>
      <c r="BQ18" s="382"/>
      <c r="BR18" s="104" t="str" cm="1">
        <f t="array" aca="1" ref="BR18" ca="1">INDIRECT(ADDRESS(ROW(BT18),BU18*3,1,FALSE),FALSE)</f>
        <v>French</v>
      </c>
      <c r="BS18" s="104" t="str">
        <f ca="1">_xlfn.XLOOKUP(BR18,Cultures!$D$4:$D$63,Cultures!$O$4:$O$63)</f>
        <v>Sci</v>
      </c>
      <c r="BT18" s="249">
        <f t="shared" si="2"/>
        <v>10700</v>
      </c>
      <c r="BU18" s="258" cm="1">
        <f t="array" aca="1" ref="BU18" ca="1">INDIRECT(ADDRESS(2,_xlfn.XMATCH(BT18,C18:BQ18,0)+2,1,FALSE),FALSE)</f>
        <v>15</v>
      </c>
      <c r="BW18" s="181" t="str">
        <f t="shared" si="8"/>
        <v>Mil</v>
      </c>
      <c r="BX18" s="89" t="s">
        <v>11</v>
      </c>
      <c r="BY18" s="338">
        <f t="shared" ca="1" si="3"/>
        <v>1100</v>
      </c>
      <c r="BZ18" s="338">
        <f t="shared" ca="1" si="9"/>
        <v>0</v>
      </c>
      <c r="CA18" s="338">
        <f t="shared" ca="1" si="4"/>
        <v>1500</v>
      </c>
      <c r="CB18" s="338">
        <f t="shared" ca="1" si="5"/>
        <v>1071</v>
      </c>
      <c r="CC18" s="338">
        <f t="shared" ca="1" si="6"/>
        <v>2050</v>
      </c>
      <c r="CD18" s="477"/>
      <c r="CG18" s="484" t="s">
        <v>724</v>
      </c>
    </row>
    <row r="19" spans="1:85" ht="13.8" thickBot="1" x14ac:dyDescent="0.3">
      <c r="A19" s="599"/>
      <c r="B19" s="106" t="s">
        <v>6</v>
      </c>
      <c r="C19" s="251" t="s">
        <v>239</v>
      </c>
      <c r="D19" s="251" t="str">
        <f>_xlfn.XLOOKUP(C19,Cultures!$D$4:$D$63,Cultures!$O$4:$O$63)</f>
        <v>Sci</v>
      </c>
      <c r="E19" s="250">
        <v>8692</v>
      </c>
      <c r="F19" s="251" t="s">
        <v>246</v>
      </c>
      <c r="G19" s="251" t="str">
        <f>_xlfn.XLOOKUP(F19,Cultures!$D$4:$D$63,Cultures!$O$4:$O$63)</f>
        <v>Sci</v>
      </c>
      <c r="H19" s="250">
        <v>10430</v>
      </c>
      <c r="I19" s="251" t="s">
        <v>231</v>
      </c>
      <c r="J19" s="251" t="str">
        <f>_xlfn.XLOOKUP(I19,Cultures!$D$4:$D$63,Cultures!$O$4:$O$63)</f>
        <v>Aes</v>
      </c>
      <c r="K19" s="250">
        <v>11391</v>
      </c>
      <c r="L19" s="251" t="s">
        <v>246</v>
      </c>
      <c r="M19" s="251" t="str">
        <f>_xlfn.XLOOKUP(L19,Cultures!$D$4:$D$63,Cultures!$O$4:$O$63)</f>
        <v>Sci</v>
      </c>
      <c r="N19" s="250">
        <v>10459</v>
      </c>
      <c r="O19" s="251" t="s">
        <v>246</v>
      </c>
      <c r="P19" s="251" t="str">
        <f>_xlfn.XLOOKUP(O19,Cultures!$D$4:$D$63,Cultures!$O$4:$O$63)</f>
        <v>Sci</v>
      </c>
      <c r="Q19" s="250">
        <v>11294</v>
      </c>
      <c r="R19" s="251" t="s">
        <v>231</v>
      </c>
      <c r="S19" s="251" t="str">
        <f>_xlfn.XLOOKUP(R19,Cultures!$D$4:$D$63,Cultures!$O$4:$O$63)</f>
        <v>Aes</v>
      </c>
      <c r="T19" s="250">
        <v>11819</v>
      </c>
      <c r="U19" s="251" t="s">
        <v>219</v>
      </c>
      <c r="V19" s="251" t="str">
        <f>_xlfn.XLOOKUP(U19,Cultures!$D$4:$D$63,Cultures!$O$4:$O$63)</f>
        <v>Bui</v>
      </c>
      <c r="W19" s="250">
        <v>10830</v>
      </c>
      <c r="X19" s="251" t="s">
        <v>216</v>
      </c>
      <c r="Y19" s="251" t="str">
        <f>_xlfn.XLOOKUP(X19,Cultures!$D$4:$D$63,Cultures!$O$4:$O$63)</f>
        <v>Exp</v>
      </c>
      <c r="Z19" s="250">
        <v>10280</v>
      </c>
      <c r="AA19" s="251" t="s">
        <v>246</v>
      </c>
      <c r="AB19" s="251" t="str">
        <f>_xlfn.XLOOKUP(AA19,Cultures!$D$4:$D$63,Cultures!$O$4:$O$63)</f>
        <v>Sci</v>
      </c>
      <c r="AC19" s="250">
        <v>12080</v>
      </c>
      <c r="AD19" s="251" t="s">
        <v>235</v>
      </c>
      <c r="AE19" s="251" t="str">
        <f>_xlfn.XLOOKUP(AD19,Cultures!$D$4:$D$63,Cultures!$O$4:$O$63)</f>
        <v>Aes</v>
      </c>
      <c r="AF19" s="250">
        <v>14220</v>
      </c>
      <c r="AG19" s="251" t="s">
        <v>227</v>
      </c>
      <c r="AH19" s="251" t="str">
        <f>_xlfn.XLOOKUP(AG19,Cultures!$D$4:$D$63,Cultures!$O$4:$O$63)</f>
        <v>Mer</v>
      </c>
      <c r="AI19" s="250">
        <v>14740</v>
      </c>
      <c r="AJ19" s="251" t="s">
        <v>239</v>
      </c>
      <c r="AK19" s="251" t="str">
        <f>_xlfn.XLOOKUP(AJ19,Cultures!$D$4:$D$63,Cultures!$O$4:$O$63)</f>
        <v>Sci</v>
      </c>
      <c r="AL19" s="250">
        <v>12620</v>
      </c>
      <c r="AM19" s="251" t="s">
        <v>223</v>
      </c>
      <c r="AN19" s="251" t="str">
        <f>_xlfn.XLOOKUP(AM19,Cultures!$D$4:$D$63,Cultures!$O$4:$O$63)</f>
        <v>Agr</v>
      </c>
      <c r="AO19" s="250">
        <v>11810</v>
      </c>
      <c r="AP19" s="251" t="s">
        <v>250</v>
      </c>
      <c r="AQ19" s="251" t="str">
        <f>_xlfn.XLOOKUP(AP19,Cultures!$D$4:$D$63,Cultures!$O$4:$O$63)</f>
        <v>Agr</v>
      </c>
      <c r="AR19" s="250">
        <v>10950</v>
      </c>
      <c r="AS19" s="251" t="s">
        <v>242</v>
      </c>
      <c r="AT19" s="251" t="str">
        <f>_xlfn.XLOOKUP(AS19,Cultures!$D$4:$D$63,Cultures!$O$4:$O$63)</f>
        <v>Exp</v>
      </c>
      <c r="AU19" s="250">
        <v>12800</v>
      </c>
      <c r="AV19" s="251" t="s">
        <v>235</v>
      </c>
      <c r="AW19" s="251" t="str">
        <f>_xlfn.XLOOKUP(AV19,Cultures!$D$4:$D$63,Cultures!$O$4:$O$63)</f>
        <v>Aes</v>
      </c>
      <c r="AX19" s="250">
        <v>11700</v>
      </c>
      <c r="AY19" s="251" t="s">
        <v>235</v>
      </c>
      <c r="AZ19" s="251" t="str">
        <f>_xlfn.XLOOKUP(AY19,Cultures!$D$4:$D$63,Cultures!$O$4:$O$63)</f>
        <v>Aes</v>
      </c>
      <c r="BA19" s="250">
        <v>13650</v>
      </c>
      <c r="BB19" s="111" t="s">
        <v>231</v>
      </c>
      <c r="BC19" s="251" t="str">
        <f>_xlfn.XLOOKUP(BB19,Cultures!$D$4:$D$63,Cultures!$O$4:$O$63)</f>
        <v>Aes</v>
      </c>
      <c r="BD19" s="250">
        <v>10620</v>
      </c>
      <c r="BE19" s="317" t="s">
        <v>250</v>
      </c>
      <c r="BF19" s="251" t="str">
        <f>_xlfn.XLOOKUP(BE19,Cultures!$D$4:$D$63,Cultures!$O$4:$O$63)</f>
        <v>Agr</v>
      </c>
      <c r="BG19" s="250">
        <v>13850</v>
      </c>
      <c r="BH19" s="317" t="s">
        <v>239</v>
      </c>
      <c r="BI19" s="251" t="str">
        <f>_xlfn.XLOOKUP(BH19,Cultures!$D$4:$D$63,Cultures!$O$4:$O$63)</f>
        <v>Sci</v>
      </c>
      <c r="BJ19" s="250">
        <v>11800</v>
      </c>
      <c r="BK19" s="317" t="s">
        <v>216</v>
      </c>
      <c r="BL19" s="251" t="str">
        <f>_xlfn.XLOOKUP(BK19,Cultures!$D$4:$D$63,Cultures!$O$4:$O$63)</f>
        <v>Exp</v>
      </c>
      <c r="BM19" s="250">
        <v>14700</v>
      </c>
      <c r="BN19" s="317"/>
      <c r="BO19" s="251"/>
      <c r="BP19" s="250"/>
      <c r="BQ19" s="386"/>
      <c r="BR19" s="251" t="str" cm="1">
        <f t="array" aca="1" ref="BR19" ca="1">INDIRECT(ADDRESS(ROW(BT19),BU19*3,1,FALSE),FALSE)</f>
        <v>Chinese</v>
      </c>
      <c r="BS19" s="251" t="str">
        <f ca="1">_xlfn.XLOOKUP(BR19,Cultures!$D$4:$D$63,Cultures!$O$4:$O$63)</f>
        <v>Mer</v>
      </c>
      <c r="BT19" s="250">
        <f t="shared" si="2"/>
        <v>14740</v>
      </c>
      <c r="BU19" s="259" cm="1">
        <f t="array" aca="1" ref="BU19" ca="1">INDIRECT(ADDRESS(2,_xlfn.XMATCH(BT19,C19:BQ19,0)+2,1,FALSE),FALSE)</f>
        <v>11</v>
      </c>
      <c r="BW19" s="181" t="str">
        <f t="shared" si="8"/>
        <v>Aes</v>
      </c>
      <c r="BX19" s="89" t="s">
        <v>538</v>
      </c>
      <c r="BY19" s="338">
        <f t="shared" ca="1" si="3"/>
        <v>1250</v>
      </c>
      <c r="BZ19" s="338">
        <f t="shared" ca="1" si="9"/>
        <v>1390</v>
      </c>
      <c r="CA19" s="338">
        <f t="shared" ca="1" si="4"/>
        <v>900</v>
      </c>
      <c r="CB19" s="338">
        <f t="shared" ca="1" si="5"/>
        <v>1100</v>
      </c>
      <c r="CC19" s="338">
        <f t="shared" ca="1" si="6"/>
        <v>1350</v>
      </c>
      <c r="CD19" s="339">
        <f t="shared" ca="1" si="7"/>
        <v>3300</v>
      </c>
    </row>
    <row r="20" spans="1:85" ht="13.8" thickBot="1" x14ac:dyDescent="0.3">
      <c r="B20" s="99"/>
      <c r="C20" s="98"/>
      <c r="D20" s="98"/>
      <c r="E20" s="98"/>
      <c r="F20" s="97"/>
      <c r="G20" s="97"/>
      <c r="H20" s="98"/>
      <c r="I20" s="97"/>
      <c r="J20" s="97"/>
      <c r="K20" s="98"/>
      <c r="L20" s="97"/>
      <c r="M20" s="97"/>
      <c r="N20" s="98"/>
      <c r="O20" s="97"/>
      <c r="P20" s="97"/>
      <c r="Q20" s="98"/>
      <c r="BW20" s="181" t="str">
        <f t="shared" si="8"/>
        <v>Mer</v>
      </c>
      <c r="BX20" s="89" t="s">
        <v>12</v>
      </c>
      <c r="BY20" s="338">
        <f t="shared" ca="1" si="3"/>
        <v>950</v>
      </c>
      <c r="BZ20" s="338">
        <f t="shared" ca="1" si="9"/>
        <v>1400</v>
      </c>
      <c r="CA20" s="338">
        <f t="shared" ca="1" si="4"/>
        <v>1171</v>
      </c>
      <c r="CB20" s="338">
        <f t="shared" ca="1" si="5"/>
        <v>1400</v>
      </c>
      <c r="CC20" s="478"/>
      <c r="CD20" s="339">
        <f t="shared" ca="1" si="7"/>
        <v>7500</v>
      </c>
    </row>
    <row r="21" spans="1:85" ht="13.8" thickBot="1" x14ac:dyDescent="0.3">
      <c r="A21" s="597" t="s">
        <v>670</v>
      </c>
      <c r="B21" s="380" t="s">
        <v>254</v>
      </c>
      <c r="C21" s="306" t="str">
        <f t="shared" ref="C21:C27" si="10">C13</f>
        <v>Nomadic</v>
      </c>
      <c r="D21" s="307" t="s">
        <v>660</v>
      </c>
      <c r="E21" s="308">
        <f>E13</f>
        <v>70</v>
      </c>
      <c r="F21" s="306" t="str">
        <f>F13</f>
        <v>Nomadic</v>
      </c>
      <c r="G21" s="307" t="s">
        <v>660</v>
      </c>
      <c r="H21" s="308">
        <f>H13</f>
        <v>20</v>
      </c>
      <c r="I21" s="306" t="str">
        <f>I13</f>
        <v>Nomadic</v>
      </c>
      <c r="J21" s="307" t="s">
        <v>660</v>
      </c>
      <c r="K21" s="308">
        <f>K13</f>
        <v>20</v>
      </c>
      <c r="L21" s="306" t="str">
        <f>L13</f>
        <v>Nomadic</v>
      </c>
      <c r="M21" s="307" t="s">
        <v>660</v>
      </c>
      <c r="N21" s="308">
        <f>N13</f>
        <v>20</v>
      </c>
      <c r="O21" s="306" t="str">
        <f>O13</f>
        <v>Nomadic</v>
      </c>
      <c r="P21" s="307" t="s">
        <v>660</v>
      </c>
      <c r="Q21" s="308">
        <f>Q13</f>
        <v>20</v>
      </c>
      <c r="R21" s="306" t="str">
        <f>R13</f>
        <v>Nomadic</v>
      </c>
      <c r="S21" s="307" t="s">
        <v>660</v>
      </c>
      <c r="T21" s="308">
        <f>T13</f>
        <v>40</v>
      </c>
      <c r="U21" s="306" t="str">
        <f>U13</f>
        <v>Nomadic</v>
      </c>
      <c r="V21" s="307" t="s">
        <v>660</v>
      </c>
      <c r="W21" s="308">
        <f>W13</f>
        <v>100</v>
      </c>
      <c r="X21" s="306" t="str">
        <f>X13</f>
        <v>Nomadic</v>
      </c>
      <c r="Y21" s="307" t="s">
        <v>660</v>
      </c>
      <c r="Z21" s="308">
        <f>Z13</f>
        <v>100</v>
      </c>
      <c r="AA21" s="306" t="str">
        <f>AA13</f>
        <v>Nomadic</v>
      </c>
      <c r="AB21" s="307" t="s">
        <v>660</v>
      </c>
      <c r="AC21" s="308">
        <f>AC13</f>
        <v>250</v>
      </c>
      <c r="AD21" s="306" t="str">
        <f>AD13</f>
        <v>Nomadic</v>
      </c>
      <c r="AE21" s="307" t="s">
        <v>660</v>
      </c>
      <c r="AF21" s="308">
        <f>AF13</f>
        <v>250</v>
      </c>
      <c r="AG21" s="306" t="str">
        <f>AG13</f>
        <v>Nomadic</v>
      </c>
      <c r="AH21" s="307" t="s">
        <v>660</v>
      </c>
      <c r="AI21" s="308">
        <f>AI13</f>
        <v>100</v>
      </c>
      <c r="AJ21" s="306" t="str">
        <f>AJ13</f>
        <v>Nomadic</v>
      </c>
      <c r="AK21" s="307" t="s">
        <v>660</v>
      </c>
      <c r="AL21" s="308">
        <f>AL13</f>
        <v>100</v>
      </c>
      <c r="AM21" s="306" t="str">
        <f>AM13</f>
        <v>Nomadic</v>
      </c>
      <c r="AN21" s="307" t="s">
        <v>660</v>
      </c>
      <c r="AO21" s="308">
        <f>AO13</f>
        <v>100</v>
      </c>
      <c r="AP21" s="306" t="str">
        <f>AP13</f>
        <v>Nomadic</v>
      </c>
      <c r="AQ21" s="307" t="s">
        <v>660</v>
      </c>
      <c r="AR21" s="308">
        <f>AR13</f>
        <v>200</v>
      </c>
      <c r="AS21" s="306" t="str">
        <f t="shared" ref="AS21:AV21" si="11">AS13</f>
        <v>Nomadic</v>
      </c>
      <c r="AT21" s="307" t="s">
        <v>660</v>
      </c>
      <c r="AU21" s="308">
        <f>AU13</f>
        <v>250</v>
      </c>
      <c r="AV21" s="306" t="str">
        <f t="shared" si="11"/>
        <v>Nomadic</v>
      </c>
      <c r="AW21" s="307" t="s">
        <v>660</v>
      </c>
      <c r="AX21" s="308">
        <f>AX13</f>
        <v>200</v>
      </c>
      <c r="AY21" s="306" t="str">
        <f t="shared" ref="AY21" si="12">AY13</f>
        <v>Nomadic</v>
      </c>
      <c r="AZ21" s="307" t="s">
        <v>660</v>
      </c>
      <c r="BA21" s="308">
        <f>BA13</f>
        <v>100</v>
      </c>
      <c r="BB21" s="306" t="str">
        <f t="shared" ref="BB21" si="13">BB13</f>
        <v>Nomadic</v>
      </c>
      <c r="BC21" s="307" t="s">
        <v>660</v>
      </c>
      <c r="BD21" s="308">
        <f>BD13</f>
        <v>150</v>
      </c>
      <c r="BE21" s="306" t="str">
        <f t="shared" ref="BE21:BE27" si="14">BE13</f>
        <v>Nomadic</v>
      </c>
      <c r="BF21" s="307" t="s">
        <v>660</v>
      </c>
      <c r="BG21" s="308">
        <f>BG13</f>
        <v>100</v>
      </c>
      <c r="BH21" s="306" t="str">
        <f t="shared" ref="BH21:BH27" si="15">BH13</f>
        <v>Nomadic</v>
      </c>
      <c r="BI21" s="307" t="s">
        <v>660</v>
      </c>
      <c r="BJ21" s="308">
        <f>BJ13</f>
        <v>200</v>
      </c>
      <c r="BK21" s="306" t="str">
        <f t="shared" ref="BK21:BK27" si="16">BK13</f>
        <v>Nomadic</v>
      </c>
      <c r="BL21" s="307" t="s">
        <v>660</v>
      </c>
      <c r="BM21" s="308">
        <f>BM13</f>
        <v>100</v>
      </c>
      <c r="BN21" s="306"/>
      <c r="BO21" s="307"/>
      <c r="BP21" s="308">
        <f>BP13</f>
        <v>0</v>
      </c>
      <c r="BQ21" s="384"/>
      <c r="BR21" s="306" t="s">
        <v>632</v>
      </c>
      <c r="BS21" s="307" t="s">
        <v>660</v>
      </c>
      <c r="BT21" s="385">
        <f>MAX(My_0_Nomadic)</f>
        <v>250</v>
      </c>
      <c r="BU21" s="309" cm="1">
        <f t="array" aca="1" ref="BU21" ca="1">INDIRECT(ADDRESS(2,_xlfn.XMATCH(BT21,My_0_Nomadic,0)+1,1,FALSE),FALSE)</f>
        <v>9</v>
      </c>
      <c r="BW21" s="300" t="str">
        <f t="shared" si="8"/>
        <v>Sci</v>
      </c>
      <c r="BX21" s="95" t="s">
        <v>13</v>
      </c>
      <c r="BY21" s="340">
        <f t="shared" ca="1" si="3"/>
        <v>775</v>
      </c>
      <c r="BZ21" s="340">
        <f t="shared" ca="1" si="9"/>
        <v>950</v>
      </c>
      <c r="CA21" s="340">
        <f t="shared" ca="1" si="4"/>
        <v>1350</v>
      </c>
      <c r="CB21" s="340">
        <f t="shared" ca="1" si="5"/>
        <v>1154</v>
      </c>
      <c r="CC21" s="340">
        <f t="shared" ca="1" si="6"/>
        <v>1272</v>
      </c>
      <c r="CD21" s="341">
        <f t="shared" ca="1" si="7"/>
        <v>3326</v>
      </c>
    </row>
    <row r="22" spans="1:85" ht="13.8" thickBot="1" x14ac:dyDescent="0.3">
      <c r="A22" s="598"/>
      <c r="B22" s="90" t="s">
        <v>1</v>
      </c>
      <c r="C22" s="100" t="str">
        <f t="shared" si="10"/>
        <v>Babylonians</v>
      </c>
      <c r="D22" s="100" t="str">
        <f>_xlfn.XLOOKUP(C22,Cultures!$D$4:$D$63,Cultures!$O$4:$O$63)</f>
        <v>Sci</v>
      </c>
      <c r="E22" s="249">
        <f>E14-E13</f>
        <v>882</v>
      </c>
      <c r="F22" s="100" t="str">
        <f t="shared" ref="F22:F27" si="17">F14</f>
        <v>Ancient Egyptians</v>
      </c>
      <c r="G22" s="100" t="str">
        <f>_xlfn.XLOOKUP(F22,Cultures!$D$4:$D$63,Cultures!$O$4:$O$63)</f>
        <v>Bui</v>
      </c>
      <c r="H22" s="249">
        <f>H14-H13</f>
        <v>617</v>
      </c>
      <c r="I22" s="100" t="str">
        <f t="shared" ref="I22:I27" si="18">I14</f>
        <v>Ancient Egyptians</v>
      </c>
      <c r="J22" s="100" t="str">
        <f>_xlfn.XLOOKUP(I22,Cultures!$D$4:$D$63,Cultures!$O$4:$O$63)</f>
        <v>Bui</v>
      </c>
      <c r="K22" s="249">
        <f>K14-K13</f>
        <v>854</v>
      </c>
      <c r="L22" s="100" t="str">
        <f t="shared" ref="L22:L27" si="19">L14</f>
        <v>Babylonians</v>
      </c>
      <c r="M22" s="100" t="str">
        <f>_xlfn.XLOOKUP(L22,Cultures!$D$4:$D$63,Cultures!$O$4:$O$63)</f>
        <v>Sci</v>
      </c>
      <c r="N22" s="249">
        <f>N14-N13</f>
        <v>775</v>
      </c>
      <c r="O22" s="100" t="str">
        <f t="shared" ref="O22:O27" si="20">O14</f>
        <v>Ancient Egyptians</v>
      </c>
      <c r="P22" s="100" t="str">
        <f>_xlfn.XLOOKUP(O22,Cultures!$D$4:$D$63,Cultures!$O$4:$O$63)</f>
        <v>Bui</v>
      </c>
      <c r="Q22" s="249">
        <f>Q14-Q13</f>
        <v>964</v>
      </c>
      <c r="R22" s="100" t="str">
        <f t="shared" ref="R22:R27" si="21">R14</f>
        <v>Ancient Egyptians</v>
      </c>
      <c r="S22" s="100" t="str">
        <f>_xlfn.XLOOKUP(R22,Cultures!$D$4:$D$63,Cultures!$O$4:$O$63)</f>
        <v>Bui</v>
      </c>
      <c r="T22" s="249">
        <f>T14-T13</f>
        <v>873</v>
      </c>
      <c r="U22" s="100" t="str">
        <f t="shared" ref="U22:U27" si="22">U14</f>
        <v>Mycenaeans</v>
      </c>
      <c r="V22" s="100" t="str">
        <f>_xlfn.XLOOKUP(U22,Cultures!$D$4:$D$63,Cultures!$O$4:$O$63)</f>
        <v>Mil</v>
      </c>
      <c r="W22" s="249">
        <f>W14-W13</f>
        <v>1100</v>
      </c>
      <c r="X22" s="100" t="str">
        <f t="shared" ref="X22:X27" si="23">X14</f>
        <v>Phoenicians</v>
      </c>
      <c r="Y22" s="100" t="str">
        <f>_xlfn.XLOOKUP(X22,Cultures!$D$4:$D$63,Cultures!$O$4:$O$63)</f>
        <v>Mer</v>
      </c>
      <c r="Z22" s="249">
        <f>Z14-Z13</f>
        <v>1460</v>
      </c>
      <c r="AA22" s="100" t="str">
        <f t="shared" ref="AA22:AA27" si="24">AA14</f>
        <v>Phoenicians</v>
      </c>
      <c r="AB22" s="100" t="str">
        <f>_xlfn.XLOOKUP(AA22,Cultures!$D$4:$D$63,Cultures!$O$4:$O$63)</f>
        <v>Mer</v>
      </c>
      <c r="AC22" s="249">
        <f>AC14-AC13</f>
        <v>950</v>
      </c>
      <c r="AD22" s="100" t="str">
        <f t="shared" ref="AD22:AD27" si="25">AD14</f>
        <v>Phoenicians</v>
      </c>
      <c r="AE22" s="100" t="str">
        <f>_xlfn.XLOOKUP(AD22,Cultures!$D$4:$D$63,Cultures!$O$4:$O$63)</f>
        <v>Mer</v>
      </c>
      <c r="AF22" s="249">
        <f>AF14-AF13</f>
        <v>1150</v>
      </c>
      <c r="AG22" s="100" t="str">
        <f t="shared" ref="AG22:AG27" si="26">AG14</f>
        <v>Harappans</v>
      </c>
      <c r="AH22" s="100" t="str">
        <f>_xlfn.XLOOKUP(AG22,Cultures!$D$4:$D$63,Cultures!$O$4:$O$63)</f>
        <v>Agr</v>
      </c>
      <c r="AI22" s="249">
        <f>AI14-AI13</f>
        <v>1000</v>
      </c>
      <c r="AJ22" s="100" t="str">
        <f t="shared" ref="AJ22:AJ27" si="27">AJ14</f>
        <v>Olmecs</v>
      </c>
      <c r="AK22" s="100" t="str">
        <f>_xlfn.XLOOKUP(AJ22,Cultures!$D$4:$D$63,Cultures!$O$4:$O$63)</f>
        <v>Aes</v>
      </c>
      <c r="AL22" s="249">
        <f>AL14-AL13</f>
        <v>1250</v>
      </c>
      <c r="AM22" s="100" t="str">
        <f t="shared" ref="AM22:AM27" si="28">AM14</f>
        <v>Assyrians</v>
      </c>
      <c r="AN22" s="100" t="str">
        <f>_xlfn.XLOOKUP(AM22,Cultures!$D$4:$D$63,Cultures!$O$4:$O$63)</f>
        <v>Exp</v>
      </c>
      <c r="AO22" s="249">
        <f>AO14-AO13</f>
        <v>1200</v>
      </c>
      <c r="AP22" s="100" t="str">
        <f t="shared" ref="AP22:AP27" si="29">AP14</f>
        <v>Hittites</v>
      </c>
      <c r="AQ22" s="100" t="str">
        <f>_xlfn.XLOOKUP(AP22,Cultures!$D$4:$D$63,Cultures!$O$4:$O$63)</f>
        <v>Mil</v>
      </c>
      <c r="AR22" s="249">
        <f>AR14-AR13</f>
        <v>1500</v>
      </c>
      <c r="AS22" s="100" t="str">
        <f t="shared" ref="AS22:AS27" si="30">AS14</f>
        <v>Phoenicians</v>
      </c>
      <c r="AT22" s="100" t="str">
        <f>_xlfn.XLOOKUP(AS22,Cultures!$D$4:$D$63,Cultures!$O$4:$O$63)</f>
        <v>Mer</v>
      </c>
      <c r="AU22" s="249">
        <f>AU14-AU13</f>
        <v>1000</v>
      </c>
      <c r="AV22" s="100" t="str">
        <f t="shared" ref="AV22:AV27" si="31">AV14</f>
        <v>Nubians</v>
      </c>
      <c r="AW22" s="100" t="str">
        <f>_xlfn.XLOOKUP(AV22,Cultures!$D$4:$D$63,Cultures!$O$4:$O$63)</f>
        <v>Mer</v>
      </c>
      <c r="AX22" s="249">
        <f>AX14-AX13</f>
        <v>1400</v>
      </c>
      <c r="AY22" s="100" t="str">
        <f t="shared" ref="AY22" si="32">AY14</f>
        <v>Zhou</v>
      </c>
      <c r="AZ22" s="100" t="str">
        <f>_xlfn.XLOOKUP(AY22,Cultures!$D$4:$D$63,Cultures!$O$4:$O$63)</f>
        <v>Aes</v>
      </c>
      <c r="BA22" s="249">
        <f>BA14-BA13</f>
        <v>1750</v>
      </c>
      <c r="BB22" s="100" t="str">
        <f t="shared" ref="BB22" si="33">BB14</f>
        <v>Harappans</v>
      </c>
      <c r="BC22" s="100" t="str">
        <f>_xlfn.XLOOKUP(BB22,Cultures!$D$4:$D$63,Cultures!$O$4:$O$63)</f>
        <v>Agr</v>
      </c>
      <c r="BD22" s="249">
        <f>BD14-BD13</f>
        <v>1050</v>
      </c>
      <c r="BE22" s="100" t="str">
        <f t="shared" si="14"/>
        <v>Assyrians</v>
      </c>
      <c r="BF22" s="100" t="str">
        <f>_xlfn.XLOOKUP(BE22,Cultures!$D$4:$D$63,Cultures!$O$4:$O$63)</f>
        <v>Exp</v>
      </c>
      <c r="BG22" s="249">
        <f>BG14-BG13</f>
        <v>1450</v>
      </c>
      <c r="BH22" s="100" t="str">
        <f t="shared" si="15"/>
        <v>Assyrians</v>
      </c>
      <c r="BI22" s="100" t="str">
        <f>_xlfn.XLOOKUP(BH22,Cultures!$D$4:$D$63,Cultures!$O$4:$O$63)</f>
        <v>Exp</v>
      </c>
      <c r="BJ22" s="249">
        <f>BJ14-BJ13</f>
        <v>1200</v>
      </c>
      <c r="BK22" s="100" t="str">
        <f t="shared" si="16"/>
        <v>Olmecs</v>
      </c>
      <c r="BL22" s="100" t="str">
        <f>_xlfn.XLOOKUP(BK22,Cultures!$D$4:$D$63,Cultures!$O$4:$O$63)</f>
        <v>Aes</v>
      </c>
      <c r="BM22" s="249">
        <f>BM14-BM13</f>
        <v>2100</v>
      </c>
      <c r="BN22" s="100"/>
      <c r="BO22" s="100"/>
      <c r="BP22" s="249">
        <f>BP14-BP13</f>
        <v>0</v>
      </c>
      <c r="BQ22" s="382"/>
      <c r="BR22" s="100" t="str" cm="1">
        <f t="array" aca="1" ref="BR22" ca="1">INDIRECT(ADDRESS(ROW(BT22),BU22*3,1,FALSE),FALSE)</f>
        <v>Olmecs</v>
      </c>
      <c r="BS22" s="100" t="str">
        <f ca="1">_xlfn.XLOOKUP(BR22,Cultures!$D$4:$D$63,Cultures!$O$4:$O$63)</f>
        <v>Aes</v>
      </c>
      <c r="BT22" s="383">
        <f>MAX(My_1_Ancient)</f>
        <v>2100</v>
      </c>
      <c r="BU22" s="258" cm="1">
        <f t="array" aca="1" ref="BU22" ca="1">INDIRECT(ADDRESS(2,_xlfn.XMATCH(BT22,My_1_Ancient,0)+1,1,FALSE),FALSE)</f>
        <v>21</v>
      </c>
    </row>
    <row r="23" spans="1:85" ht="13.8" thickBot="1" x14ac:dyDescent="0.3">
      <c r="A23" s="598"/>
      <c r="B23" s="91" t="s">
        <v>2</v>
      </c>
      <c r="C23" s="101" t="str">
        <f t="shared" si="10"/>
        <v>Achaemenid Persians</v>
      </c>
      <c r="D23" s="101" t="str">
        <f>_xlfn.XLOOKUP(C23,Cultures!$D$4:$D$63,Cultures!$O$4:$O$63)</f>
        <v>Exp</v>
      </c>
      <c r="E23" s="249">
        <f t="shared" ref="E23:E27" si="34">E15-E14</f>
        <v>971</v>
      </c>
      <c r="F23" s="101" t="str">
        <f t="shared" si="17"/>
        <v>Achaemenid Persians</v>
      </c>
      <c r="G23" s="101" t="str">
        <f>_xlfn.XLOOKUP(F23,Cultures!$D$4:$D$63,Cultures!$O$4:$O$63)</f>
        <v>Exp</v>
      </c>
      <c r="H23" s="249">
        <f t="shared" ref="H23:H27" si="35">H15-H14</f>
        <v>865</v>
      </c>
      <c r="I23" s="101" t="str">
        <f t="shared" si="18"/>
        <v>Achaemenid Persians</v>
      </c>
      <c r="J23" s="101" t="str">
        <f>_xlfn.XLOOKUP(I23,Cultures!$D$4:$D$63,Cultures!$O$4:$O$63)</f>
        <v>Exp</v>
      </c>
      <c r="K23" s="249">
        <f t="shared" ref="K23:K27" si="36">K15-K14</f>
        <v>1300</v>
      </c>
      <c r="L23" s="101" t="str">
        <f t="shared" si="19"/>
        <v>Achaemenid Persians</v>
      </c>
      <c r="M23" s="101" t="str">
        <f>_xlfn.XLOOKUP(L23,Cultures!$D$4:$D$63,Cultures!$O$4:$O$63)</f>
        <v>Exp</v>
      </c>
      <c r="N23" s="249">
        <f t="shared" ref="N23:N27" si="37">N15-N14</f>
        <v>824</v>
      </c>
      <c r="O23" s="101" t="str">
        <f t="shared" si="20"/>
        <v>Mauryans</v>
      </c>
      <c r="P23" s="101" t="str">
        <f>_xlfn.XLOOKUP(O23,Cultures!$D$4:$D$63,Cultures!$O$4:$O$63)</f>
        <v>Aes</v>
      </c>
      <c r="Q23" s="249">
        <f t="shared" ref="Q23:Q27" si="38">Q15-Q14</f>
        <v>1390</v>
      </c>
      <c r="R23" s="101" t="str">
        <f t="shared" si="21"/>
        <v>Achaemenid Persians</v>
      </c>
      <c r="S23" s="101" t="str">
        <f>_xlfn.XLOOKUP(R23,Cultures!$D$4:$D$63,Cultures!$O$4:$O$63)</f>
        <v>Exp</v>
      </c>
      <c r="T23" s="249">
        <f t="shared" ref="T23:T27" si="39">T15-T14</f>
        <v>1168</v>
      </c>
      <c r="U23" s="101" t="str">
        <f t="shared" si="22"/>
        <v>Maya</v>
      </c>
      <c r="V23" s="101" t="str">
        <f>_xlfn.XLOOKUP(U23,Cultures!$D$4:$D$63,Cultures!$O$4:$O$63)</f>
        <v>Bui</v>
      </c>
      <c r="W23" s="249">
        <f t="shared" ref="W23:W27" si="40">W15-W14</f>
        <v>1480</v>
      </c>
      <c r="X23" s="101" t="str">
        <f t="shared" si="23"/>
        <v>Maya</v>
      </c>
      <c r="Y23" s="101" t="str">
        <f>_xlfn.XLOOKUP(X23,Cultures!$D$4:$D$63,Cultures!$O$4:$O$63)</f>
        <v>Bui</v>
      </c>
      <c r="Z23" s="249">
        <f t="shared" ref="Z23:Z27" si="41">Z15-Z14</f>
        <v>1070</v>
      </c>
      <c r="AA23" s="101" t="str">
        <f t="shared" si="24"/>
        <v>Greeks</v>
      </c>
      <c r="AB23" s="101" t="str">
        <f>_xlfn.XLOOKUP(AA23,Cultures!$D$4:$D$63,Cultures!$O$4:$O$63)</f>
        <v>Sci</v>
      </c>
      <c r="AC23" s="249">
        <f t="shared" ref="AC23:AC27" si="42">AC15-AC14</f>
        <v>950</v>
      </c>
      <c r="AD23" s="101" t="str">
        <f t="shared" si="25"/>
        <v>Greeks</v>
      </c>
      <c r="AE23" s="101" t="str">
        <f>_xlfn.XLOOKUP(AD23,Cultures!$D$4:$D$63,Cultures!$O$4:$O$63)</f>
        <v>Sci</v>
      </c>
      <c r="AF23" s="249">
        <f t="shared" ref="AF23:AF27" si="43">AF15-AF14</f>
        <v>1100</v>
      </c>
      <c r="AG23" s="101" t="str">
        <f t="shared" si="26"/>
        <v>Celts</v>
      </c>
      <c r="AH23" s="101" t="str">
        <f>_xlfn.XLOOKUP(AG23,Cultures!$D$4:$D$63,Cultures!$O$4:$O$63)</f>
        <v>Agr</v>
      </c>
      <c r="AI23" s="249">
        <f t="shared" ref="AI23:AI27" si="44">AI15-AI14</f>
        <v>1450</v>
      </c>
      <c r="AJ23" s="101" t="str">
        <f t="shared" si="27"/>
        <v>Romans</v>
      </c>
      <c r="AK23" s="101" t="str">
        <f>_xlfn.XLOOKUP(AJ23,Cultures!$D$4:$D$63,Cultures!$O$4:$O$63)</f>
        <v>Exp</v>
      </c>
      <c r="AL23" s="249">
        <f t="shared" ref="AL23:AL27" si="45">AL15-AL14</f>
        <v>1400</v>
      </c>
      <c r="AM23" s="101" t="str">
        <f t="shared" si="28"/>
        <v>Achaemenid Persians</v>
      </c>
      <c r="AN23" s="101" t="str">
        <f>_xlfn.XLOOKUP(AM23,Cultures!$D$4:$D$63,Cultures!$O$4:$O$63)</f>
        <v>Exp</v>
      </c>
      <c r="AO23" s="249">
        <f t="shared" ref="AO23:AO27" si="46">AO15-AO14</f>
        <v>1550</v>
      </c>
      <c r="AP23" s="101" t="str">
        <f t="shared" si="29"/>
        <v>Carthaginians</v>
      </c>
      <c r="AQ23" s="101" t="str">
        <f>_xlfn.XLOOKUP(AP23,Cultures!$D$4:$D$63,Cultures!$O$4:$O$63)</f>
        <v>Mer</v>
      </c>
      <c r="AR23" s="249">
        <f t="shared" ref="AR23:AR27" si="47">AR15-AR14</f>
        <v>1400</v>
      </c>
      <c r="AS23" s="101" t="str">
        <f t="shared" si="30"/>
        <v>Achaemenid Persians</v>
      </c>
      <c r="AT23" s="101" t="str">
        <f>_xlfn.XLOOKUP(AS23,Cultures!$D$4:$D$63,Cultures!$O$4:$O$63)</f>
        <v>Exp</v>
      </c>
      <c r="AU23" s="249">
        <f t="shared" ref="AU23:AU27" si="48">AU15-AU14</f>
        <v>1950</v>
      </c>
      <c r="AV23" s="101" t="str">
        <f t="shared" si="31"/>
        <v>Mauryans</v>
      </c>
      <c r="AW23" s="101" t="str">
        <f>_xlfn.XLOOKUP(AV23,Cultures!$D$4:$D$63,Cultures!$O$4:$O$63)</f>
        <v>Aes</v>
      </c>
      <c r="AX23" s="249">
        <f t="shared" ref="AX23:AX27" si="49">AX15-AX14</f>
        <v>1300</v>
      </c>
      <c r="AY23" s="101" t="str">
        <f t="shared" ref="AY23" si="50">AY15</f>
        <v>Mauryans</v>
      </c>
      <c r="AZ23" s="101" t="str">
        <f>_xlfn.XLOOKUP(AY23,Cultures!$D$4:$D$63,Cultures!$O$4:$O$63)</f>
        <v>Aes</v>
      </c>
      <c r="BA23" s="249">
        <f t="shared" ref="BA23:BA27" si="51">BA15-BA14</f>
        <v>2050</v>
      </c>
      <c r="BB23" s="101" t="str">
        <f t="shared" ref="BB23" si="52">BB15</f>
        <v>Aksumites</v>
      </c>
      <c r="BC23" s="101" t="str">
        <f>_xlfn.XLOOKUP(BB23,Cultures!$D$4:$D$63,Cultures!$O$4:$O$63)</f>
        <v>Mer</v>
      </c>
      <c r="BD23" s="249">
        <f t="shared" ref="BD23:BD27" si="53">BD15-BD14</f>
        <v>1300</v>
      </c>
      <c r="BE23" s="101" t="str">
        <f t="shared" si="14"/>
        <v>Goths</v>
      </c>
      <c r="BF23" s="101" t="str">
        <f>_xlfn.XLOOKUP(BE23,Cultures!$D$4:$D$63,Cultures!$O$4:$O$63)</f>
        <v>Mil</v>
      </c>
      <c r="BG23" s="249">
        <f t="shared" ref="BG23:BG27" si="54">BG15-BG14</f>
        <v>1550</v>
      </c>
      <c r="BH23" s="101" t="str">
        <f t="shared" si="15"/>
        <v>Huns</v>
      </c>
      <c r="BI23" s="101" t="str">
        <f>_xlfn.XLOOKUP(BH23,Cultures!$D$4:$D$63,Cultures!$O$4:$O$63)</f>
        <v>Mil</v>
      </c>
      <c r="BJ23" s="249">
        <f t="shared" ref="BJ23:BJ27" si="55">BJ15-BJ14</f>
        <v>1150</v>
      </c>
      <c r="BK23" s="101" t="str">
        <f t="shared" si="16"/>
        <v>Greeks</v>
      </c>
      <c r="BL23" s="101" t="str">
        <f>_xlfn.XLOOKUP(BK23,Cultures!$D$4:$D$63,Cultures!$O$4:$O$63)</f>
        <v>Sci</v>
      </c>
      <c r="BM23" s="249">
        <f t="shared" ref="BM23:BM27" si="56">BM15-BM14</f>
        <v>1450</v>
      </c>
      <c r="BN23" s="101"/>
      <c r="BO23" s="101"/>
      <c r="BP23" s="249">
        <f t="shared" ref="BP23:BP27" si="57">BP15-BP14</f>
        <v>0</v>
      </c>
      <c r="BQ23" s="382"/>
      <c r="BR23" s="101" t="str" cm="1">
        <f t="array" aca="1" ref="BR23" ca="1">INDIRECT(ADDRESS(ROW(BT23),BU23*3,1,FALSE),FALSE)</f>
        <v>Mauryans</v>
      </c>
      <c r="BS23" s="101" t="str">
        <f ca="1">_xlfn.XLOOKUP(BR23,Cultures!$D$4:$D$63,Cultures!$O$4:$O$63)</f>
        <v>Aes</v>
      </c>
      <c r="BT23" s="383">
        <f>MAX(My_2_Classical)</f>
        <v>2050</v>
      </c>
      <c r="BU23" s="258" cm="1">
        <f t="array" aca="1" ref="BU23" ca="1">INDIRECT(ADDRESS(2,_xlfn.XMATCH(BT23,My_2_Classical,0)+1,1,FALSE),FALSE)</f>
        <v>17</v>
      </c>
      <c r="BY23" s="602" t="s">
        <v>557</v>
      </c>
      <c r="BZ23" s="603"/>
      <c r="CA23" s="603"/>
      <c r="CB23" s="603"/>
      <c r="CC23" s="603"/>
      <c r="CD23" s="603"/>
      <c r="CE23" s="354" t="s">
        <v>669</v>
      </c>
    </row>
    <row r="24" spans="1:85" x14ac:dyDescent="0.25">
      <c r="A24" s="598"/>
      <c r="B24" s="92" t="s">
        <v>3</v>
      </c>
      <c r="C24" s="102" t="str">
        <f t="shared" si="10"/>
        <v>Franks</v>
      </c>
      <c r="D24" s="102" t="str">
        <f>_xlfn.XLOOKUP(C24,Cultures!$D$4:$D$63,Cultures!$O$4:$O$63)</f>
        <v>Aes</v>
      </c>
      <c r="E24" s="249">
        <f t="shared" si="34"/>
        <v>1226</v>
      </c>
      <c r="F24" s="102" t="str">
        <f t="shared" si="17"/>
        <v>Norsemen</v>
      </c>
      <c r="G24" s="102" t="str">
        <f>_xlfn.XLOOKUP(F24,Cultures!$D$4:$D$63,Cultures!$O$4:$O$63)</f>
        <v>Exp</v>
      </c>
      <c r="H24" s="249">
        <f t="shared" si="35"/>
        <v>1248</v>
      </c>
      <c r="I24" s="102" t="str">
        <f t="shared" si="18"/>
        <v>Khmer</v>
      </c>
      <c r="J24" s="102" t="str">
        <f>_xlfn.XLOOKUP(I24,Cultures!$D$4:$D$63,Cultures!$O$4:$O$63)</f>
        <v>Bui</v>
      </c>
      <c r="K24" s="249">
        <f t="shared" si="36"/>
        <v>1410</v>
      </c>
      <c r="L24" s="102" t="str">
        <f t="shared" si="19"/>
        <v>Khmer</v>
      </c>
      <c r="M24" s="102" t="str">
        <f>_xlfn.XLOOKUP(L24,Cultures!$D$4:$D$63,Cultures!$O$4:$O$63)</f>
        <v>Bui</v>
      </c>
      <c r="N24" s="249">
        <f t="shared" si="37"/>
        <v>843</v>
      </c>
      <c r="O24" s="102" t="str">
        <f t="shared" si="20"/>
        <v>Khmer</v>
      </c>
      <c r="P24" s="102" t="str">
        <f>_xlfn.XLOOKUP(O24,Cultures!$D$4:$D$63,Cultures!$O$4:$O$63)</f>
        <v>Bui</v>
      </c>
      <c r="Q24" s="249">
        <f t="shared" si="38"/>
        <v>908</v>
      </c>
      <c r="R24" s="102" t="str">
        <f t="shared" si="21"/>
        <v>Ghanaians</v>
      </c>
      <c r="S24" s="102" t="str">
        <f>_xlfn.XLOOKUP(R24,Cultures!$D$4:$D$63,Cultures!$O$4:$O$63)</f>
        <v>Mer</v>
      </c>
      <c r="T24" s="249">
        <f t="shared" si="39"/>
        <v>1171</v>
      </c>
      <c r="U24" s="102" t="str">
        <f t="shared" si="22"/>
        <v>Franks</v>
      </c>
      <c r="V24" s="102" t="str">
        <f>_xlfn.XLOOKUP(U24,Cultures!$D$4:$D$63,Cultures!$O$4:$O$63)</f>
        <v>Aes</v>
      </c>
      <c r="W24" s="249">
        <f t="shared" si="40"/>
        <v>1750</v>
      </c>
      <c r="X24" s="102" t="str">
        <f t="shared" si="23"/>
        <v>Franks</v>
      </c>
      <c r="Y24" s="102" t="str">
        <f>_xlfn.XLOOKUP(X24,Cultures!$D$4:$D$63,Cultures!$O$4:$O$63)</f>
        <v>Aes</v>
      </c>
      <c r="Z24" s="249">
        <f t="shared" si="41"/>
        <v>1200</v>
      </c>
      <c r="AA24" s="102" t="str">
        <f t="shared" si="24"/>
        <v>Franks</v>
      </c>
      <c r="AB24" s="102" t="str">
        <f>_xlfn.XLOOKUP(AA24,Cultures!$D$4:$D$63,Cultures!$O$4:$O$63)</f>
        <v>Aes</v>
      </c>
      <c r="AC24" s="249">
        <f t="shared" si="42"/>
        <v>1450</v>
      </c>
      <c r="AD24" s="102" t="str">
        <f t="shared" si="25"/>
        <v>Franks</v>
      </c>
      <c r="AE24" s="102" t="str">
        <f>_xlfn.XLOOKUP(AD24,Cultures!$D$4:$D$63,Cultures!$O$4:$O$63)</f>
        <v>Aes</v>
      </c>
      <c r="AF24" s="249">
        <f t="shared" si="43"/>
        <v>900</v>
      </c>
      <c r="AG24" s="102" t="str">
        <f t="shared" si="26"/>
        <v>Khmer</v>
      </c>
      <c r="AH24" s="102" t="str">
        <f>_xlfn.XLOOKUP(AG24,Cultures!$D$4:$D$63,Cultures!$O$4:$O$63)</f>
        <v>Bui</v>
      </c>
      <c r="AI24" s="249">
        <f t="shared" si="44"/>
        <v>1120</v>
      </c>
      <c r="AJ24" s="102" t="str">
        <f t="shared" si="27"/>
        <v>Khmer</v>
      </c>
      <c r="AK24" s="102" t="str">
        <f>_xlfn.XLOOKUP(AJ24,Cultures!$D$4:$D$63,Cultures!$O$4:$O$63)</f>
        <v>Bui</v>
      </c>
      <c r="AL24" s="249">
        <f t="shared" si="45"/>
        <v>1420</v>
      </c>
      <c r="AM24" s="102" t="str">
        <f t="shared" si="28"/>
        <v>English</v>
      </c>
      <c r="AN24" s="102" t="str">
        <f>_xlfn.XLOOKUP(AM24,Cultures!$D$4:$D$63,Cultures!$O$4:$O$63)</f>
        <v>Agr</v>
      </c>
      <c r="AO24" s="249">
        <f t="shared" si="46"/>
        <v>1600</v>
      </c>
      <c r="AP24" s="102" t="str">
        <f t="shared" si="29"/>
        <v>Umayyads</v>
      </c>
      <c r="AQ24" s="102" t="str">
        <f>_xlfn.XLOOKUP(AP24,Cultures!$D$4:$D$63,Cultures!$O$4:$O$63)</f>
        <v>Sci</v>
      </c>
      <c r="AR24" s="249">
        <f t="shared" si="47"/>
        <v>1350</v>
      </c>
      <c r="AS24" s="102" t="str">
        <f t="shared" si="30"/>
        <v>Norsemen</v>
      </c>
      <c r="AT24" s="102" t="str">
        <f>_xlfn.XLOOKUP(AS24,Cultures!$D$4:$D$63,Cultures!$O$4:$O$63)</f>
        <v>Exp</v>
      </c>
      <c r="AU24" s="249">
        <f t="shared" si="48"/>
        <v>1250</v>
      </c>
      <c r="AV24" s="102" t="str">
        <f t="shared" si="31"/>
        <v>English</v>
      </c>
      <c r="AW24" s="102" t="str">
        <f>_xlfn.XLOOKUP(AV24,Cultures!$D$4:$D$63,Cultures!$O$4:$O$63)</f>
        <v>Agr</v>
      </c>
      <c r="AX24" s="249">
        <f t="shared" si="49"/>
        <v>1850</v>
      </c>
      <c r="AY24" s="102" t="str">
        <f t="shared" ref="AY24" si="58">AY16</f>
        <v>Franks</v>
      </c>
      <c r="AZ24" s="102" t="str">
        <f>_xlfn.XLOOKUP(AY24,Cultures!$D$4:$D$63,Cultures!$O$4:$O$63)</f>
        <v>Aes</v>
      </c>
      <c r="BA24" s="249">
        <f t="shared" si="51"/>
        <v>1500</v>
      </c>
      <c r="BB24" s="102" t="str">
        <f t="shared" ref="BB24" si="59">BB16</f>
        <v>Khmer</v>
      </c>
      <c r="BC24" s="102" t="str">
        <f>_xlfn.XLOOKUP(BB24,Cultures!$D$4:$D$63,Cultures!$O$4:$O$63)</f>
        <v>Bui</v>
      </c>
      <c r="BD24" s="249">
        <f t="shared" si="53"/>
        <v>1220</v>
      </c>
      <c r="BE24" s="102" t="str">
        <f t="shared" si="14"/>
        <v>Aztecs</v>
      </c>
      <c r="BF24" s="102" t="str">
        <f>_xlfn.XLOOKUP(BE24,Cultures!$D$4:$D$63,Cultures!$O$4:$O$63)</f>
        <v>Mil</v>
      </c>
      <c r="BG24" s="249">
        <f t="shared" si="54"/>
        <v>1600</v>
      </c>
      <c r="BH24" s="102" t="str">
        <f t="shared" si="15"/>
        <v>Franks</v>
      </c>
      <c r="BI24" s="102" t="str">
        <f>_xlfn.XLOOKUP(BH24,Cultures!$D$4:$D$63,Cultures!$O$4:$O$63)</f>
        <v>Aes</v>
      </c>
      <c r="BJ24" s="249">
        <f t="shared" si="55"/>
        <v>1200</v>
      </c>
      <c r="BK24" s="102" t="str">
        <f t="shared" si="16"/>
        <v>Mongols</v>
      </c>
      <c r="BL24" s="102" t="str">
        <f>_xlfn.XLOOKUP(BK24,Cultures!$D$4:$D$63,Cultures!$O$4:$O$63)</f>
        <v>Mil</v>
      </c>
      <c r="BM24" s="249">
        <f t="shared" si="56"/>
        <v>1500</v>
      </c>
      <c r="BN24" s="102"/>
      <c r="BO24" s="102"/>
      <c r="BP24" s="249">
        <f t="shared" si="57"/>
        <v>0</v>
      </c>
      <c r="BQ24" s="382"/>
      <c r="BR24" s="102" t="str" cm="1">
        <f t="array" aca="1" ref="BR24" ca="1">INDIRECT(ADDRESS(ROW(BT24),BU24*3,1,FALSE),FALSE)</f>
        <v>English</v>
      </c>
      <c r="BS24" s="102" t="str">
        <f ca="1">_xlfn.XLOOKUP(BR24,Cultures!$D$4:$D$63,Cultures!$O$4:$O$63)</f>
        <v>Agr</v>
      </c>
      <c r="BT24" s="383">
        <f>MAX(My_3_Medieval)</f>
        <v>1850</v>
      </c>
      <c r="BU24" s="258" cm="1">
        <f t="array" aca="1" ref="BU24" ca="1">INDIRECT(ADDRESS(2,_xlfn.XMATCH(BT24,My_3_Medieval,0)+1,1,FALSE),FALSE)</f>
        <v>16</v>
      </c>
      <c r="BW24" s="318" t="str">
        <f>LEFT(BX24,3)</f>
        <v>Bui</v>
      </c>
      <c r="BX24" s="128" t="s">
        <v>8</v>
      </c>
      <c r="BY24" s="336">
        <f t="shared" ref="BY24:BY30" ca="1" si="60">IF(COUNTIF(Aff_1_Ancient,$BW24)=0,0,AVERAGEIFS(Fam_1_Ancient,Aff_1_Ancient,$BW24))</f>
        <v>827</v>
      </c>
      <c r="BZ24" s="336">
        <f t="shared" ref="BZ24:BZ30" ca="1" si="61">IF(COUNTIF(Aff_2_Classical,$BW24)=0,0,AVERAGEIFS(Fam_2_Classical,Aff_2_Classical,$BW24))</f>
        <v>1275</v>
      </c>
      <c r="CA24" s="336">
        <f t="shared" ref="CA24:CA30" ca="1" si="62">IF(COUNTIF(Aff_3_Medieval,$BW24)=0,0,AVERAGEIFS(Fam_3_Medieval,Aff_3_Medieval,$BW24))</f>
        <v>1153.5</v>
      </c>
      <c r="CB24" s="336">
        <f t="shared" ref="CB24:CB30" ca="1" si="63">IF(COUNTIF(Aff_4_Early_Modern,$BW24)=0,0,AVERAGEIFS(Fam_4_Early_Modern,Aff_4_Early_Modern,$BW24))</f>
        <v>1168</v>
      </c>
      <c r="CC24" s="336">
        <f t="shared" ref="CC24:CC30" ca="1" si="64">IF(COUNTIF(Aff_5_Industrial,$BW24)=0,0,AVERAGEIFS(Fam_5_Industrial,Aff_5_Industrial,$BW24))</f>
        <v>1364.5</v>
      </c>
      <c r="CD24" s="336">
        <f t="shared" ref="CD24:CD30" ca="1" si="65">IF(COUNTIF(Aff_6_Contemporary,$BW24)=0,0,AVERAGEIFS(Fam_6_Contemporary,Aff_6_Contemporary,$BW24))</f>
        <v>3350</v>
      </c>
      <c r="CE24" s="355">
        <f ca="1">SUM(BY24:CD24)/COUNTIF(BY24:CD24,"&gt;0")</f>
        <v>1523</v>
      </c>
    </row>
    <row r="25" spans="1:85" x14ac:dyDescent="0.25">
      <c r="A25" s="598"/>
      <c r="B25" s="93" t="s">
        <v>4</v>
      </c>
      <c r="C25" s="103" t="str">
        <f t="shared" si="10"/>
        <v>Joseon</v>
      </c>
      <c r="D25" s="103" t="str">
        <f>_xlfn.XLOOKUP(C25,Cultures!$D$4:$D$63,Cultures!$O$4:$O$63)</f>
        <v>Sci</v>
      </c>
      <c r="E25" s="249">
        <f t="shared" si="34"/>
        <v>1154</v>
      </c>
      <c r="F25" s="103" t="str">
        <f t="shared" si="17"/>
        <v>Joseon</v>
      </c>
      <c r="G25" s="103" t="str">
        <f>_xlfn.XLOOKUP(F25,Cultures!$D$4:$D$63,Cultures!$O$4:$O$63)</f>
        <v>Sci</v>
      </c>
      <c r="H25" s="249">
        <f t="shared" si="35"/>
        <v>1319</v>
      </c>
      <c r="I25" s="103" t="str">
        <f t="shared" si="18"/>
        <v>Poles</v>
      </c>
      <c r="J25" s="103" t="str">
        <f>_xlfn.XLOOKUP(I25,Cultures!$D$4:$D$63,Cultures!$O$4:$O$63)</f>
        <v>Mil</v>
      </c>
      <c r="K25" s="249">
        <f t="shared" si="36"/>
        <v>1071</v>
      </c>
      <c r="L25" s="103" t="str">
        <f t="shared" si="19"/>
        <v>Ming</v>
      </c>
      <c r="M25" s="103" t="str">
        <f>_xlfn.XLOOKUP(L25,Cultures!$D$4:$D$63,Cultures!$O$4:$O$63)</f>
        <v>Aes</v>
      </c>
      <c r="N25" s="249">
        <f t="shared" si="37"/>
        <v>1462</v>
      </c>
      <c r="O25" s="103" t="str">
        <f t="shared" si="20"/>
        <v>Ming</v>
      </c>
      <c r="P25" s="103" t="str">
        <f>_xlfn.XLOOKUP(O25,Cultures!$D$4:$D$63,Cultures!$O$4:$O$63)</f>
        <v>Aes</v>
      </c>
      <c r="Q25" s="249">
        <f t="shared" si="38"/>
        <v>1200</v>
      </c>
      <c r="R25" s="103" t="str">
        <f t="shared" si="21"/>
        <v>Mughals</v>
      </c>
      <c r="S25" s="103" t="str">
        <f>_xlfn.XLOOKUP(R25,Cultures!$D$4:$D$63,Cultures!$O$4:$O$63)</f>
        <v>Bui</v>
      </c>
      <c r="T25" s="249">
        <f t="shared" si="39"/>
        <v>982</v>
      </c>
      <c r="U25" s="103" t="str">
        <f t="shared" si="22"/>
        <v>Edo Japanese</v>
      </c>
      <c r="V25" s="103" t="str">
        <f>_xlfn.XLOOKUP(U25,Cultures!$D$4:$D$63,Cultures!$O$4:$O$63)</f>
        <v>Aes</v>
      </c>
      <c r="W25" s="249">
        <f t="shared" si="40"/>
        <v>1500</v>
      </c>
      <c r="X25" s="103" t="str">
        <f t="shared" si="23"/>
        <v>Joseon</v>
      </c>
      <c r="Y25" s="103" t="str">
        <f>_xlfn.XLOOKUP(X25,Cultures!$D$4:$D$63,Cultures!$O$4:$O$63)</f>
        <v>Sci</v>
      </c>
      <c r="Z25" s="249">
        <f t="shared" si="41"/>
        <v>1250</v>
      </c>
      <c r="AA25" s="103" t="str">
        <f t="shared" si="24"/>
        <v>Mughals</v>
      </c>
      <c r="AB25" s="103" t="str">
        <f>_xlfn.XLOOKUP(AA25,Cultures!$D$4:$D$63,Cultures!$O$4:$O$63)</f>
        <v>Bui</v>
      </c>
      <c r="AC25" s="249">
        <f t="shared" si="42"/>
        <v>1110</v>
      </c>
      <c r="AD25" s="103" t="str">
        <f t="shared" si="25"/>
        <v>Mughals</v>
      </c>
      <c r="AE25" s="103" t="str">
        <f>_xlfn.XLOOKUP(AD25,Cultures!$D$4:$D$63,Cultures!$O$4:$O$63)</f>
        <v>Bui</v>
      </c>
      <c r="AF25" s="249">
        <f t="shared" si="43"/>
        <v>1070</v>
      </c>
      <c r="AG25" s="103" t="str">
        <f t="shared" si="26"/>
        <v>Ming</v>
      </c>
      <c r="AH25" s="103" t="str">
        <f>_xlfn.XLOOKUP(AG25,Cultures!$D$4:$D$63,Cultures!$O$4:$O$63)</f>
        <v>Aes</v>
      </c>
      <c r="AI25" s="249">
        <f t="shared" si="44"/>
        <v>1850</v>
      </c>
      <c r="AJ25" s="103" t="str">
        <f t="shared" si="27"/>
        <v>Edo Japanese</v>
      </c>
      <c r="AK25" s="103" t="str">
        <f>_xlfn.XLOOKUP(AJ25,Cultures!$D$4:$D$63,Cultures!$O$4:$O$63)</f>
        <v>Aes</v>
      </c>
      <c r="AL25" s="249">
        <f t="shared" si="45"/>
        <v>1250</v>
      </c>
      <c r="AM25" s="103" t="str">
        <f t="shared" si="28"/>
        <v>Mughals</v>
      </c>
      <c r="AN25" s="103" t="str">
        <f>_xlfn.XLOOKUP(AM25,Cultures!$D$4:$D$63,Cultures!$O$4:$O$63)</f>
        <v>Bui</v>
      </c>
      <c r="AO25" s="249">
        <f t="shared" si="46"/>
        <v>1510</v>
      </c>
      <c r="AP25" s="103" t="str">
        <f t="shared" si="29"/>
        <v>Poles</v>
      </c>
      <c r="AQ25" s="103" t="str">
        <f>_xlfn.XLOOKUP(AP25,Cultures!$D$4:$D$63,Cultures!$O$4:$O$63)</f>
        <v>Mil</v>
      </c>
      <c r="AR25" s="249">
        <f t="shared" si="47"/>
        <v>1450</v>
      </c>
      <c r="AS25" s="103" t="str">
        <f t="shared" si="30"/>
        <v>Ming</v>
      </c>
      <c r="AT25" s="103" t="str">
        <f>_xlfn.XLOOKUP(AS25,Cultures!$D$4:$D$63,Cultures!$O$4:$O$63)</f>
        <v>Aes</v>
      </c>
      <c r="AU25" s="249">
        <f t="shared" si="48"/>
        <v>2350</v>
      </c>
      <c r="AV25" s="103" t="str">
        <f t="shared" si="31"/>
        <v>Dutch</v>
      </c>
      <c r="AW25" s="103" t="str">
        <f>_xlfn.XLOOKUP(AV25,Cultures!$D$4:$D$63,Cultures!$O$4:$O$63)</f>
        <v>Mer</v>
      </c>
      <c r="AX25" s="249">
        <f t="shared" si="49"/>
        <v>1400</v>
      </c>
      <c r="AY25" s="103" t="str">
        <f t="shared" ref="AY25" si="66">AY17</f>
        <v>Poles</v>
      </c>
      <c r="AZ25" s="103" t="str">
        <f>_xlfn.XLOOKUP(AY25,Cultures!$D$4:$D$63,Cultures!$O$4:$O$63)</f>
        <v>Mil</v>
      </c>
      <c r="BA25" s="249">
        <f t="shared" si="51"/>
        <v>1400</v>
      </c>
      <c r="BB25" s="103" t="str">
        <f t="shared" ref="BB25" si="67">BB17</f>
        <v>Edo Japanese</v>
      </c>
      <c r="BC25" s="103" t="str">
        <f>_xlfn.XLOOKUP(BB25,Cultures!$D$4:$D$63,Cultures!$O$4:$O$63)</f>
        <v>Aes</v>
      </c>
      <c r="BD25" s="249">
        <f t="shared" si="53"/>
        <v>1400</v>
      </c>
      <c r="BE25" s="103" t="str">
        <f t="shared" si="14"/>
        <v>Ottomans</v>
      </c>
      <c r="BF25" s="103" t="str">
        <f>_xlfn.XLOOKUP(BE25,Cultures!$D$4:$D$63,Cultures!$O$4:$O$63)</f>
        <v>Exp</v>
      </c>
      <c r="BG25" s="249">
        <f t="shared" si="54"/>
        <v>1350</v>
      </c>
      <c r="BH25" s="103" t="str">
        <f t="shared" si="15"/>
        <v>Ming</v>
      </c>
      <c r="BI25" s="103" t="str">
        <f>_xlfn.XLOOKUP(BH25,Cultures!$D$4:$D$63,Cultures!$O$4:$O$63)</f>
        <v>Aes</v>
      </c>
      <c r="BJ25" s="249">
        <f t="shared" si="55"/>
        <v>1100</v>
      </c>
      <c r="BK25" s="103" t="str">
        <f t="shared" si="16"/>
        <v>Haudenosaunee</v>
      </c>
      <c r="BL25" s="103" t="str">
        <f>_xlfn.XLOOKUP(BK25,Cultures!$D$4:$D$63,Cultures!$O$4:$O$63)</f>
        <v>Agr</v>
      </c>
      <c r="BM25" s="249">
        <f t="shared" si="56"/>
        <v>2050</v>
      </c>
      <c r="BN25" s="103"/>
      <c r="BO25" s="103"/>
      <c r="BP25" s="249">
        <f t="shared" si="57"/>
        <v>0</v>
      </c>
      <c r="BQ25" s="382"/>
      <c r="BR25" s="103" t="str" cm="1">
        <f t="array" aca="1" ref="BR25" ca="1">INDIRECT(ADDRESS(ROW(BT25),BU25*3,1,FALSE),FALSE)</f>
        <v>Ming</v>
      </c>
      <c r="BS25" s="103" t="str">
        <f ca="1">_xlfn.XLOOKUP(BR25,Cultures!$D$4:$D$63,Cultures!$O$4:$O$63)</f>
        <v>Aes</v>
      </c>
      <c r="BT25" s="383">
        <f>MAX(My_4_Early_Modern)</f>
        <v>2350</v>
      </c>
      <c r="BU25" s="258" cm="1">
        <f t="array" aca="1" ref="BU25" ca="1">INDIRECT(ADDRESS(2,_xlfn.XMATCH(BT25,My_4_Early_Modern,0)+1,1,FALSE),FALSE)</f>
        <v>15</v>
      </c>
      <c r="BW25" s="319" t="str">
        <f t="shared" ref="BW25:BW30" si="68">LEFT(BX25,3)</f>
        <v>Agr</v>
      </c>
      <c r="BX25" s="89" t="s">
        <v>9</v>
      </c>
      <c r="BY25" s="338">
        <f t="shared" ca="1" si="60"/>
        <v>1025</v>
      </c>
      <c r="BZ25" s="338">
        <f t="shared" ca="1" si="61"/>
        <v>1450</v>
      </c>
      <c r="CA25" s="338">
        <f t="shared" ca="1" si="62"/>
        <v>1725</v>
      </c>
      <c r="CB25" s="338">
        <f t="shared" ca="1" si="63"/>
        <v>2050</v>
      </c>
      <c r="CC25" s="338">
        <f t="shared" ca="1" si="64"/>
        <v>2200</v>
      </c>
      <c r="CD25" s="338">
        <f t="shared" ca="1" si="65"/>
        <v>4566.666666666667</v>
      </c>
      <c r="CE25" s="342">
        <f t="shared" ref="CE25:CE30" ca="1" si="69">SUM(BY25:CD25)/COUNTIF(BY25:CD25,"&gt;0")</f>
        <v>2169.4444444444448</v>
      </c>
    </row>
    <row r="26" spans="1:85" x14ac:dyDescent="0.25">
      <c r="A26" s="598"/>
      <c r="B26" s="94" t="s">
        <v>5</v>
      </c>
      <c r="C26" s="104" t="str">
        <f t="shared" si="10"/>
        <v>Persians</v>
      </c>
      <c r="D26" s="104" t="str">
        <f>_xlfn.XLOOKUP(C26,Cultures!$D$4:$D$63,Cultures!$O$4:$O$63)</f>
        <v>Bui</v>
      </c>
      <c r="E26" s="249">
        <f t="shared" si="34"/>
        <v>1063</v>
      </c>
      <c r="F26" s="104" t="str">
        <f t="shared" si="17"/>
        <v>French</v>
      </c>
      <c r="G26" s="104" t="str">
        <f>_xlfn.XLOOKUP(F26,Cultures!$D$4:$D$63,Cultures!$O$4:$O$63)</f>
        <v>Sci</v>
      </c>
      <c r="H26" s="249">
        <f t="shared" si="35"/>
        <v>2364</v>
      </c>
      <c r="I26" s="104" t="str">
        <f t="shared" si="18"/>
        <v>French</v>
      </c>
      <c r="J26" s="104" t="str">
        <f>_xlfn.XLOOKUP(I26,Cultures!$D$4:$D$63,Cultures!$O$4:$O$63)</f>
        <v>Sci</v>
      </c>
      <c r="K26" s="249">
        <f t="shared" si="36"/>
        <v>1272</v>
      </c>
      <c r="L26" s="104" t="str">
        <f t="shared" si="19"/>
        <v>French</v>
      </c>
      <c r="M26" s="104" t="str">
        <f>_xlfn.XLOOKUP(L26,Cultures!$D$4:$D$63,Cultures!$O$4:$O$63)</f>
        <v>Sci</v>
      </c>
      <c r="N26" s="249">
        <f t="shared" si="37"/>
        <v>2060</v>
      </c>
      <c r="O26" s="104" t="str">
        <f t="shared" si="20"/>
        <v>French</v>
      </c>
      <c r="P26" s="104" t="str">
        <f>_xlfn.XLOOKUP(O26,Cultures!$D$4:$D$63,Cultures!$O$4:$O$63)</f>
        <v>Sci</v>
      </c>
      <c r="Q26" s="249">
        <f t="shared" si="38"/>
        <v>1357</v>
      </c>
      <c r="R26" s="104" t="str">
        <f t="shared" si="21"/>
        <v>Persians</v>
      </c>
      <c r="S26" s="104" t="str">
        <f>_xlfn.XLOOKUP(R26,Cultures!$D$4:$D$63,Cultures!$O$4:$O$63)</f>
        <v>Bui</v>
      </c>
      <c r="T26" s="249">
        <f t="shared" si="39"/>
        <v>1155</v>
      </c>
      <c r="U26" s="104" t="str">
        <f t="shared" si="22"/>
        <v>French</v>
      </c>
      <c r="V26" s="104" t="str">
        <f>_xlfn.XLOOKUP(U26,Cultures!$D$4:$D$63,Cultures!$O$4:$O$63)</f>
        <v>Sci</v>
      </c>
      <c r="W26" s="249">
        <f t="shared" si="40"/>
        <v>1550</v>
      </c>
      <c r="X26" s="104" t="str">
        <f t="shared" si="23"/>
        <v>French</v>
      </c>
      <c r="Y26" s="104" t="str">
        <f>_xlfn.XLOOKUP(X26,Cultures!$D$4:$D$63,Cultures!$O$4:$O$63)</f>
        <v>Sci</v>
      </c>
      <c r="Z26" s="249">
        <f t="shared" si="41"/>
        <v>1650</v>
      </c>
      <c r="AA26" s="104" t="str">
        <f t="shared" si="24"/>
        <v>Persians</v>
      </c>
      <c r="AB26" s="104" t="str">
        <f>_xlfn.XLOOKUP(AA26,Cultures!$D$4:$D$63,Cultures!$O$4:$O$63)</f>
        <v>Bui</v>
      </c>
      <c r="AC26" s="249">
        <f t="shared" si="42"/>
        <v>1520</v>
      </c>
      <c r="AD26" s="104" t="str">
        <f t="shared" si="25"/>
        <v>Austro-Hungarians</v>
      </c>
      <c r="AE26" s="104" t="str">
        <f>_xlfn.XLOOKUP(AD26,Cultures!$D$4:$D$63,Cultures!$O$4:$O$63)</f>
        <v>Aes</v>
      </c>
      <c r="AF26" s="249">
        <f t="shared" si="43"/>
        <v>2900</v>
      </c>
      <c r="AG26" s="104" t="str">
        <f t="shared" si="26"/>
        <v>Siamese</v>
      </c>
      <c r="AH26" s="104" t="str">
        <f>_xlfn.XLOOKUP(AG26,Cultures!$D$4:$D$63,Cultures!$O$4:$O$63)</f>
        <v>Bui</v>
      </c>
      <c r="AI26" s="249">
        <f t="shared" si="44"/>
        <v>1720</v>
      </c>
      <c r="AJ26" s="104" t="str">
        <f t="shared" si="27"/>
        <v>Italians</v>
      </c>
      <c r="AK26" s="104" t="str">
        <f>_xlfn.XLOOKUP(AJ26,Cultures!$D$4:$D$63,Cultures!$O$4:$O$63)</f>
        <v>Exp</v>
      </c>
      <c r="AL26" s="249">
        <f t="shared" si="45"/>
        <v>1950</v>
      </c>
      <c r="AM26" s="104" t="str">
        <f t="shared" si="28"/>
        <v>Italians</v>
      </c>
      <c r="AN26" s="104" t="str">
        <f>_xlfn.XLOOKUP(AM26,Cultures!$D$4:$D$63,Cultures!$O$4:$O$63)</f>
        <v>Exp</v>
      </c>
      <c r="AO26" s="249">
        <f t="shared" si="46"/>
        <v>1100</v>
      </c>
      <c r="AP26" s="104" t="str">
        <f t="shared" si="29"/>
        <v>Zulu</v>
      </c>
      <c r="AQ26" s="104" t="str">
        <f>_xlfn.XLOOKUP(AP26,Cultures!$D$4:$D$63,Cultures!$O$4:$O$63)</f>
        <v>Mil</v>
      </c>
      <c r="AR26" s="249">
        <f t="shared" si="47"/>
        <v>2050</v>
      </c>
      <c r="AS26" s="104" t="str">
        <f t="shared" si="30"/>
        <v>French</v>
      </c>
      <c r="AT26" s="104" t="str">
        <f>_xlfn.XLOOKUP(AS26,Cultures!$D$4:$D$63,Cultures!$O$4:$O$63)</f>
        <v>Sci</v>
      </c>
      <c r="AU26" s="249">
        <f t="shared" si="48"/>
        <v>3900</v>
      </c>
      <c r="AV26" s="104" t="str">
        <f t="shared" si="31"/>
        <v>British</v>
      </c>
      <c r="AW26" s="104" t="str">
        <f>_xlfn.XLOOKUP(AV26,Cultures!$D$4:$D$63,Cultures!$O$4:$O$63)</f>
        <v>Exp</v>
      </c>
      <c r="AX26" s="249">
        <f t="shared" si="49"/>
        <v>1850</v>
      </c>
      <c r="AY26" s="104" t="str">
        <f t="shared" ref="AY26" si="70">AY18</f>
        <v>Austro-Hungarians</v>
      </c>
      <c r="AZ26" s="104" t="str">
        <f>_xlfn.XLOOKUP(AY26,Cultures!$D$4:$D$63,Cultures!$O$4:$O$63)</f>
        <v>Aes</v>
      </c>
      <c r="BA26" s="249">
        <f t="shared" si="51"/>
        <v>1350</v>
      </c>
      <c r="BB26" s="104" t="str">
        <f t="shared" ref="BB26" si="71">BB18</f>
        <v>Mexicans</v>
      </c>
      <c r="BC26" s="104" t="str">
        <f>_xlfn.XLOOKUP(BB26,Cultures!$D$4:$D$63,Cultures!$O$4:$O$63)</f>
        <v>Agr</v>
      </c>
      <c r="BD26" s="249">
        <f t="shared" si="53"/>
        <v>2200</v>
      </c>
      <c r="BE26" s="104" t="str">
        <f t="shared" si="14"/>
        <v>Russians</v>
      </c>
      <c r="BF26" s="104" t="str">
        <f>_xlfn.XLOOKUP(BE26,Cultures!$D$4:$D$63,Cultures!$O$4:$O$63)</f>
        <v>Exp</v>
      </c>
      <c r="BG26" s="249">
        <f t="shared" si="54"/>
        <v>1850</v>
      </c>
      <c r="BH26" s="104" t="str">
        <f t="shared" si="15"/>
        <v>French</v>
      </c>
      <c r="BI26" s="104" t="str">
        <f>_xlfn.XLOOKUP(BH26,Cultures!$D$4:$D$63,Cultures!$O$4:$O$63)</f>
        <v>Sci</v>
      </c>
      <c r="BJ26" s="249">
        <f t="shared" si="55"/>
        <v>1850</v>
      </c>
      <c r="BK26" s="104" t="str">
        <f t="shared" si="16"/>
        <v>Germans</v>
      </c>
      <c r="BL26" s="104" t="str">
        <f>_xlfn.XLOOKUP(BK26,Cultures!$D$4:$D$63,Cultures!$O$4:$O$63)</f>
        <v>Mil</v>
      </c>
      <c r="BM26" s="249">
        <f t="shared" si="56"/>
        <v>3350</v>
      </c>
      <c r="BN26" s="104"/>
      <c r="BO26" s="104"/>
      <c r="BP26" s="249">
        <f t="shared" si="57"/>
        <v>0</v>
      </c>
      <c r="BQ26" s="382"/>
      <c r="BR26" s="104" t="str" cm="1">
        <f t="array" aca="1" ref="BR26" ca="1">INDIRECT(ADDRESS(ROW(BT26),BU26*3,1,FALSE),FALSE)</f>
        <v>French</v>
      </c>
      <c r="BS26" s="104" t="str">
        <f ca="1">_xlfn.XLOOKUP(BR26,Cultures!$D$4:$D$63,Cultures!$O$4:$O$63)</f>
        <v>Sci</v>
      </c>
      <c r="BT26" s="383">
        <f>MAX(My_5_Industrial)</f>
        <v>3900</v>
      </c>
      <c r="BU26" s="258" cm="1">
        <f t="array" aca="1" ref="BU26" ca="1">INDIRECT(ADDRESS(2,_xlfn.XMATCH(BT26,My_5_Industrial,0)+1,1,FALSE),FALSE)</f>
        <v>15</v>
      </c>
      <c r="BW26" s="319" t="str">
        <f t="shared" si="68"/>
        <v>Exp</v>
      </c>
      <c r="BX26" s="89" t="s">
        <v>10</v>
      </c>
      <c r="BY26" s="338">
        <f t="shared" ca="1" si="60"/>
        <v>1283.3333333333333</v>
      </c>
      <c r="BZ26" s="338">
        <f t="shared" ca="1" si="61"/>
        <v>1253.5</v>
      </c>
      <c r="CA26" s="338">
        <f t="shared" ca="1" si="62"/>
        <v>1249</v>
      </c>
      <c r="CB26" s="338">
        <f t="shared" ca="1" si="63"/>
        <v>1350</v>
      </c>
      <c r="CC26" s="338">
        <f t="shared" ca="1" si="64"/>
        <v>1687.5</v>
      </c>
      <c r="CD26" s="338">
        <f t="shared" ca="1" si="65"/>
        <v>3266.6666666666665</v>
      </c>
      <c r="CE26" s="342">
        <f t="shared" ca="1" si="69"/>
        <v>1681.6666666666667</v>
      </c>
    </row>
    <row r="27" spans="1:85" ht="13.8" thickBot="1" x14ac:dyDescent="0.3">
      <c r="A27" s="599"/>
      <c r="B27" s="106" t="s">
        <v>6</v>
      </c>
      <c r="C27" s="251" t="str">
        <f t="shared" si="10"/>
        <v>Japanese</v>
      </c>
      <c r="D27" s="251" t="str">
        <f>_xlfn.XLOOKUP(C27,Cultures!$D$4:$D$63,Cultures!$O$4:$O$63)</f>
        <v>Sci</v>
      </c>
      <c r="E27" s="250">
        <f t="shared" si="34"/>
        <v>3326</v>
      </c>
      <c r="F27" s="251" t="str">
        <f t="shared" si="17"/>
        <v>Swedes</v>
      </c>
      <c r="G27" s="251" t="str">
        <f>_xlfn.XLOOKUP(F27,Cultures!$D$4:$D$63,Cultures!$O$4:$O$63)</f>
        <v>Sci</v>
      </c>
      <c r="H27" s="250">
        <f t="shared" si="35"/>
        <v>3997</v>
      </c>
      <c r="I27" s="251" t="str">
        <f t="shared" si="18"/>
        <v>Egyptians</v>
      </c>
      <c r="J27" s="251" t="str">
        <f>_xlfn.XLOOKUP(I27,Cultures!$D$4:$D$63,Cultures!$O$4:$O$63)</f>
        <v>Aes</v>
      </c>
      <c r="K27" s="250">
        <f t="shared" si="36"/>
        <v>5464</v>
      </c>
      <c r="L27" s="251" t="str">
        <f t="shared" si="19"/>
        <v>Swedes</v>
      </c>
      <c r="M27" s="251" t="str">
        <f>_xlfn.XLOOKUP(L27,Cultures!$D$4:$D$63,Cultures!$O$4:$O$63)</f>
        <v>Sci</v>
      </c>
      <c r="N27" s="250">
        <f t="shared" si="37"/>
        <v>4475</v>
      </c>
      <c r="O27" s="251" t="str">
        <f t="shared" si="20"/>
        <v>Swedes</v>
      </c>
      <c r="P27" s="251" t="str">
        <f>_xlfn.XLOOKUP(O27,Cultures!$D$4:$D$63,Cultures!$O$4:$O$63)</f>
        <v>Sci</v>
      </c>
      <c r="Q27" s="250">
        <f t="shared" si="38"/>
        <v>5455</v>
      </c>
      <c r="R27" s="251" t="str">
        <f t="shared" si="21"/>
        <v>Egyptians</v>
      </c>
      <c r="S27" s="251" t="str">
        <f>_xlfn.XLOOKUP(R27,Cultures!$D$4:$D$63,Cultures!$O$4:$O$63)</f>
        <v>Aes</v>
      </c>
      <c r="T27" s="250">
        <f t="shared" si="39"/>
        <v>6430</v>
      </c>
      <c r="U27" s="251" t="str">
        <f t="shared" si="22"/>
        <v>Australians</v>
      </c>
      <c r="V27" s="251" t="str">
        <f>_xlfn.XLOOKUP(U27,Cultures!$D$4:$D$63,Cultures!$O$4:$O$63)</f>
        <v>Bui</v>
      </c>
      <c r="W27" s="250">
        <f t="shared" si="40"/>
        <v>3350</v>
      </c>
      <c r="X27" s="251" t="str">
        <f t="shared" si="23"/>
        <v>Americans</v>
      </c>
      <c r="Y27" s="251" t="str">
        <f>_xlfn.XLOOKUP(X27,Cultures!$D$4:$D$63,Cultures!$O$4:$O$63)</f>
        <v>Exp</v>
      </c>
      <c r="Z27" s="250">
        <f t="shared" si="41"/>
        <v>3550</v>
      </c>
      <c r="AA27" s="251" t="str">
        <f t="shared" si="24"/>
        <v>Swedes</v>
      </c>
      <c r="AB27" s="251" t="str">
        <f>_xlfn.XLOOKUP(AA27,Cultures!$D$4:$D$63,Cultures!$O$4:$O$63)</f>
        <v>Sci</v>
      </c>
      <c r="AC27" s="250">
        <f t="shared" si="42"/>
        <v>5850</v>
      </c>
      <c r="AD27" s="251" t="str">
        <f t="shared" si="25"/>
        <v>Indians</v>
      </c>
      <c r="AE27" s="251" t="str">
        <f>_xlfn.XLOOKUP(AD27,Cultures!$D$4:$D$63,Cultures!$O$4:$O$63)</f>
        <v>Aes</v>
      </c>
      <c r="AF27" s="250">
        <f t="shared" si="43"/>
        <v>6850</v>
      </c>
      <c r="AG27" s="251" t="str">
        <f t="shared" si="26"/>
        <v>Chinese</v>
      </c>
      <c r="AH27" s="251" t="str">
        <f>_xlfn.XLOOKUP(AG27,Cultures!$D$4:$D$63,Cultures!$O$4:$O$63)</f>
        <v>Mer</v>
      </c>
      <c r="AI27" s="250">
        <f t="shared" si="44"/>
        <v>7500</v>
      </c>
      <c r="AJ27" s="251" t="str">
        <f t="shared" si="27"/>
        <v>Japanese</v>
      </c>
      <c r="AK27" s="251" t="str">
        <f>_xlfn.XLOOKUP(AJ27,Cultures!$D$4:$D$63,Cultures!$O$4:$O$63)</f>
        <v>Sci</v>
      </c>
      <c r="AL27" s="250">
        <f t="shared" si="45"/>
        <v>5250</v>
      </c>
      <c r="AM27" s="251" t="str">
        <f t="shared" si="28"/>
        <v>Brazilians</v>
      </c>
      <c r="AN27" s="251" t="str">
        <f>_xlfn.XLOOKUP(AM27,Cultures!$D$4:$D$63,Cultures!$O$4:$O$63)</f>
        <v>Agr</v>
      </c>
      <c r="AO27" s="250">
        <f t="shared" si="46"/>
        <v>4750</v>
      </c>
      <c r="AP27" s="251" t="str">
        <f t="shared" si="29"/>
        <v>Turks</v>
      </c>
      <c r="AQ27" s="251" t="str">
        <f>_xlfn.XLOOKUP(AP27,Cultures!$D$4:$D$63,Cultures!$O$4:$O$63)</f>
        <v>Agr</v>
      </c>
      <c r="AR27" s="250">
        <f t="shared" si="47"/>
        <v>3000</v>
      </c>
      <c r="AS27" s="251" t="str">
        <f t="shared" si="30"/>
        <v>Soviets</v>
      </c>
      <c r="AT27" s="251" t="str">
        <f>_xlfn.XLOOKUP(AS27,Cultures!$D$4:$D$63,Cultures!$O$4:$O$63)</f>
        <v>Exp</v>
      </c>
      <c r="AU27" s="250">
        <f t="shared" si="48"/>
        <v>2100</v>
      </c>
      <c r="AV27" s="251" t="str">
        <f t="shared" si="31"/>
        <v>Indians</v>
      </c>
      <c r="AW27" s="251" t="str">
        <f>_xlfn.XLOOKUP(AV27,Cultures!$D$4:$D$63,Cultures!$O$4:$O$63)</f>
        <v>Aes</v>
      </c>
      <c r="AX27" s="250">
        <f t="shared" si="49"/>
        <v>3700</v>
      </c>
      <c r="AY27" s="251" t="str">
        <f t="shared" ref="AY27" si="72">AY19</f>
        <v>Indians</v>
      </c>
      <c r="AZ27" s="251" t="str">
        <f>_xlfn.XLOOKUP(AY27,Cultures!$D$4:$D$63,Cultures!$O$4:$O$63)</f>
        <v>Aes</v>
      </c>
      <c r="BA27" s="250">
        <f t="shared" si="51"/>
        <v>5500</v>
      </c>
      <c r="BB27" s="251" t="str">
        <f t="shared" ref="BB27" si="73">BB19</f>
        <v>Egyptians</v>
      </c>
      <c r="BC27" s="251" t="str">
        <f>_xlfn.XLOOKUP(BB27,Cultures!$D$4:$D$63,Cultures!$O$4:$O$63)</f>
        <v>Aes</v>
      </c>
      <c r="BD27" s="250">
        <f t="shared" si="53"/>
        <v>3300</v>
      </c>
      <c r="BE27" s="251" t="str">
        <f t="shared" si="14"/>
        <v>Turks</v>
      </c>
      <c r="BF27" s="251" t="str">
        <f>_xlfn.XLOOKUP(BE27,Cultures!$D$4:$D$63,Cultures!$O$4:$O$63)</f>
        <v>Agr</v>
      </c>
      <c r="BG27" s="250">
        <f t="shared" si="54"/>
        <v>5950</v>
      </c>
      <c r="BH27" s="251" t="str">
        <f t="shared" si="15"/>
        <v>Japanese</v>
      </c>
      <c r="BI27" s="251" t="str">
        <f>_xlfn.XLOOKUP(BH27,Cultures!$D$4:$D$63,Cultures!$O$4:$O$63)</f>
        <v>Sci</v>
      </c>
      <c r="BJ27" s="250">
        <f t="shared" si="55"/>
        <v>5100</v>
      </c>
      <c r="BK27" s="251" t="str">
        <f t="shared" si="16"/>
        <v>Americans</v>
      </c>
      <c r="BL27" s="251" t="str">
        <f>_xlfn.XLOOKUP(BK27,Cultures!$D$4:$D$63,Cultures!$O$4:$O$63)</f>
        <v>Exp</v>
      </c>
      <c r="BM27" s="250">
        <f t="shared" si="56"/>
        <v>4150</v>
      </c>
      <c r="BN27" s="251"/>
      <c r="BO27" s="251"/>
      <c r="BP27" s="250">
        <f t="shared" si="57"/>
        <v>0</v>
      </c>
      <c r="BQ27" s="386"/>
      <c r="BR27" s="251" t="str" cm="1">
        <f t="array" aca="1" ref="BR27" ca="1">INDIRECT(ADDRESS(ROW(BT27),BU27*3,1,FALSE),FALSE)</f>
        <v>Chinese</v>
      </c>
      <c r="BS27" s="251" t="str">
        <f ca="1">_xlfn.XLOOKUP(BR27,Cultures!$D$4:$D$63,Cultures!$O$4:$O$63)</f>
        <v>Mer</v>
      </c>
      <c r="BT27" s="387">
        <f>MAX(My_6_Contemporary)</f>
        <v>7500</v>
      </c>
      <c r="BU27" s="259" cm="1">
        <f t="array" aca="1" ref="BU27" ca="1">INDIRECT(ADDRESS(2,_xlfn.XMATCH(BT27,My_6_Contemporary,0)+1,1,FALSE),FALSE)</f>
        <v>11</v>
      </c>
      <c r="BW27" s="319" t="str">
        <f t="shared" si="68"/>
        <v>Mil</v>
      </c>
      <c r="BX27" s="89" t="s">
        <v>11</v>
      </c>
      <c r="BY27" s="338">
        <f t="shared" ca="1" si="60"/>
        <v>1300</v>
      </c>
      <c r="BZ27" s="338">
        <f t="shared" ca="1" si="61"/>
        <v>1350</v>
      </c>
      <c r="CA27" s="338">
        <f t="shared" ca="1" si="62"/>
        <v>1550</v>
      </c>
      <c r="CB27" s="338">
        <f t="shared" ca="1" si="63"/>
        <v>1307</v>
      </c>
      <c r="CC27" s="338">
        <f t="shared" ca="1" si="64"/>
        <v>2700</v>
      </c>
      <c r="CD27" s="478"/>
      <c r="CE27" s="342">
        <f t="shared" ca="1" si="69"/>
        <v>1641.4</v>
      </c>
    </row>
    <row r="28" spans="1:85" ht="13.8" thickBot="1" x14ac:dyDescent="0.3">
      <c r="B28" s="99"/>
      <c r="C28" s="98"/>
      <c r="D28" s="98"/>
      <c r="E28" s="98"/>
      <c r="F28" s="97"/>
      <c r="G28" s="97"/>
      <c r="H28" s="98"/>
      <c r="I28" s="97"/>
      <c r="J28" s="97"/>
      <c r="K28" s="98"/>
      <c r="L28" s="97"/>
      <c r="M28" s="97"/>
      <c r="N28" s="98"/>
      <c r="O28" s="97"/>
      <c r="P28" s="97"/>
      <c r="Q28" s="98"/>
      <c r="BW28" s="319" t="str">
        <f t="shared" si="68"/>
        <v>Aes</v>
      </c>
      <c r="BX28" s="89" t="s">
        <v>538</v>
      </c>
      <c r="BY28" s="338">
        <f t="shared" ca="1" si="60"/>
        <v>1700</v>
      </c>
      <c r="BZ28" s="338">
        <f t="shared" ca="1" si="61"/>
        <v>1580</v>
      </c>
      <c r="CA28" s="338">
        <f t="shared" ca="1" si="62"/>
        <v>1318</v>
      </c>
      <c r="CB28" s="338">
        <f t="shared" ca="1" si="63"/>
        <v>1514</v>
      </c>
      <c r="CC28" s="338">
        <f t="shared" ca="1" si="64"/>
        <v>2125</v>
      </c>
      <c r="CD28" s="338">
        <f t="shared" ca="1" si="65"/>
        <v>5207.333333333333</v>
      </c>
      <c r="CE28" s="342">
        <f t="shared" ca="1" si="69"/>
        <v>2240.7222222222222</v>
      </c>
    </row>
    <row r="29" spans="1:85" x14ac:dyDescent="0.25">
      <c r="B29" s="99"/>
      <c r="C29" s="98"/>
      <c r="D29" s="98"/>
      <c r="E29" s="98"/>
      <c r="F29" s="97"/>
      <c r="G29" s="97"/>
      <c r="H29" s="98"/>
      <c r="I29" s="97"/>
      <c r="J29" s="97"/>
      <c r="K29" s="98"/>
      <c r="L29" s="97"/>
      <c r="M29" s="97"/>
      <c r="N29" s="98"/>
      <c r="O29" s="97"/>
      <c r="P29" s="97"/>
      <c r="Q29" s="98"/>
      <c r="BR29" s="588" t="s">
        <v>691</v>
      </c>
      <c r="BS29" s="589"/>
      <c r="BT29" s="589"/>
      <c r="BU29" s="590"/>
      <c r="BW29" s="319" t="str">
        <f t="shared" si="68"/>
        <v>Mer</v>
      </c>
      <c r="BX29" s="89" t="s">
        <v>12</v>
      </c>
      <c r="BY29" s="338">
        <f t="shared" ca="1" si="60"/>
        <v>1192</v>
      </c>
      <c r="BZ29" s="338">
        <f t="shared" ca="1" si="61"/>
        <v>1350</v>
      </c>
      <c r="CA29" s="338">
        <f t="shared" ca="1" si="62"/>
        <v>1171</v>
      </c>
      <c r="CB29" s="338">
        <f t="shared" ca="1" si="63"/>
        <v>1400</v>
      </c>
      <c r="CC29" s="478"/>
      <c r="CD29" s="338">
        <f t="shared" ca="1" si="65"/>
        <v>7500</v>
      </c>
      <c r="CE29" s="342">
        <f t="shared" ca="1" si="69"/>
        <v>2522.6</v>
      </c>
    </row>
    <row r="30" spans="1:85" ht="13.8" thickBot="1" x14ac:dyDescent="0.3">
      <c r="B30" s="344" t="s">
        <v>548</v>
      </c>
      <c r="C30" s="472" t="s">
        <v>629</v>
      </c>
      <c r="D30" s="472"/>
      <c r="E30" s="473" t="s">
        <v>549</v>
      </c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BR30" s="257" t="s">
        <v>0</v>
      </c>
      <c r="BS30" s="389"/>
      <c r="BT30" s="74" t="s">
        <v>258</v>
      </c>
      <c r="BU30" s="75" t="s">
        <v>564</v>
      </c>
      <c r="BW30" s="320" t="str">
        <f t="shared" si="68"/>
        <v>Sci</v>
      </c>
      <c r="BX30" s="95" t="s">
        <v>13</v>
      </c>
      <c r="BY30" s="340">
        <f t="shared" ca="1" si="60"/>
        <v>828.5</v>
      </c>
      <c r="BZ30" s="340">
        <f t="shared" ca="1" si="61"/>
        <v>1166.6666666666667</v>
      </c>
      <c r="CA30" s="340">
        <f t="shared" ca="1" si="62"/>
        <v>1350</v>
      </c>
      <c r="CB30" s="340">
        <f t="shared" ca="1" si="63"/>
        <v>1241</v>
      </c>
      <c r="CC30" s="340">
        <f t="shared" ca="1" si="64"/>
        <v>2000.375</v>
      </c>
      <c r="CD30" s="340">
        <f t="shared" ca="1" si="65"/>
        <v>4779</v>
      </c>
      <c r="CE30" s="343">
        <f t="shared" ca="1" si="69"/>
        <v>1894.2569444444446</v>
      </c>
    </row>
    <row r="31" spans="1:85" ht="13.8" customHeight="1" thickBot="1" x14ac:dyDescent="0.3">
      <c r="A31" s="573" t="s">
        <v>722</v>
      </c>
      <c r="B31" s="262" t="s">
        <v>16</v>
      </c>
      <c r="C31" s="466" t="s">
        <v>1</v>
      </c>
      <c r="D31" s="466"/>
      <c r="E31" s="474"/>
      <c r="F31" s="467" t="s">
        <v>2</v>
      </c>
      <c r="G31" s="467"/>
      <c r="H31" s="474"/>
      <c r="I31" s="468" t="s">
        <v>3</v>
      </c>
      <c r="J31" s="468"/>
      <c r="K31" s="474"/>
      <c r="L31" s="469" t="s">
        <v>4</v>
      </c>
      <c r="M31" s="469"/>
      <c r="N31" s="474"/>
      <c r="O31" s="470" t="s">
        <v>5</v>
      </c>
      <c r="P31" s="470"/>
      <c r="Q31" s="474"/>
      <c r="R31" s="471" t="s">
        <v>6</v>
      </c>
      <c r="BR31" s="254" t="s">
        <v>8</v>
      </c>
      <c r="BS31" s="390"/>
      <c r="BT31" s="255">
        <f>Cultures!L68+Cultures!L78+Cultures!L88+Cultures!L98+Cultures!L108+Cultures!L118</f>
        <v>21</v>
      </c>
      <c r="BU31" s="256">
        <f t="shared" ref="BU31:BU38" si="74">BT31/BT$38</f>
        <v>0.16666666666666666</v>
      </c>
    </row>
    <row r="32" spans="1:85" ht="13.8" thickBot="1" x14ac:dyDescent="0.3">
      <c r="A32" s="574"/>
      <c r="B32" s="587" t="s">
        <v>550</v>
      </c>
      <c r="C32" s="100" t="s">
        <v>27</v>
      </c>
      <c r="D32" s="100"/>
      <c r="E32" s="475"/>
      <c r="F32" s="101" t="s">
        <v>80</v>
      </c>
      <c r="G32" s="101"/>
      <c r="H32" s="475"/>
      <c r="I32" s="102" t="s">
        <v>116</v>
      </c>
      <c r="J32" s="102"/>
      <c r="K32" s="475"/>
      <c r="L32" s="103" t="s">
        <v>152</v>
      </c>
      <c r="M32" s="103"/>
      <c r="N32" s="475"/>
      <c r="O32" s="104" t="s">
        <v>188</v>
      </c>
      <c r="P32" s="104"/>
      <c r="Q32" s="475"/>
      <c r="R32" s="317" t="s">
        <v>246</v>
      </c>
      <c r="BR32" s="181" t="s">
        <v>9</v>
      </c>
      <c r="BS32" s="391"/>
      <c r="BT32" s="204">
        <f>Cultures!L69+Cultures!L79+Cultures!L89+Cultures!L99+Cultures!L109+Cultures!L119</f>
        <v>10</v>
      </c>
      <c r="BU32" s="222">
        <f t="shared" si="74"/>
        <v>7.9365079365079361E-2</v>
      </c>
      <c r="BY32" s="594" t="s">
        <v>667</v>
      </c>
      <c r="BZ32" s="595"/>
      <c r="CA32" s="595"/>
      <c r="CB32" s="595"/>
      <c r="CC32" s="595"/>
      <c r="CD32" s="596"/>
    </row>
    <row r="33" spans="1:82" x14ac:dyDescent="0.25">
      <c r="A33" s="574"/>
      <c r="B33" s="587"/>
      <c r="C33" s="100" t="s">
        <v>30</v>
      </c>
      <c r="D33" s="100"/>
      <c r="E33" s="475"/>
      <c r="F33" s="101" t="s">
        <v>56</v>
      </c>
      <c r="G33" s="101"/>
      <c r="H33" s="475"/>
      <c r="I33" s="102" t="s">
        <v>108</v>
      </c>
      <c r="J33" s="102"/>
      <c r="K33" s="475"/>
      <c r="L33" s="103" t="s">
        <v>156</v>
      </c>
      <c r="M33" s="103"/>
      <c r="N33" s="475"/>
      <c r="O33" s="104" t="s">
        <v>200</v>
      </c>
      <c r="P33" s="104"/>
      <c r="Q33" s="475"/>
      <c r="R33" s="317" t="s">
        <v>239</v>
      </c>
      <c r="BR33" s="181" t="s">
        <v>10</v>
      </c>
      <c r="BS33" s="391"/>
      <c r="BT33" s="204">
        <f>Cultures!L70+Cultures!L80+Cultures!L90+Cultures!L100+Cultures!L110+Cultures!L120</f>
        <v>21</v>
      </c>
      <c r="BU33" s="222">
        <f t="shared" si="74"/>
        <v>0.16666666666666666</v>
      </c>
      <c r="BW33" s="318" t="str">
        <f>LEFT(BX33,3)</f>
        <v>Bui</v>
      </c>
      <c r="BX33" s="128" t="s">
        <v>8</v>
      </c>
      <c r="BY33" s="336">
        <f ca="1">_xlfn.MAXIFS(Fam_1_Ancient,Aff_1_Ancient,$BW33)</f>
        <v>964</v>
      </c>
      <c r="BZ33" s="336">
        <f t="shared" ref="BZ33:BZ39" ca="1" si="75">_xlfn.MAXIFS(Fam_2_Classical,Aff_2_Classical,$BW33)</f>
        <v>1480</v>
      </c>
      <c r="CA33" s="336">
        <f t="shared" ref="CA33:CA39" ca="1" si="76">_xlfn.MAXIFS(Fam_3_Medieval,Aff_3_Medieval,$BW33)</f>
        <v>1420</v>
      </c>
      <c r="CB33" s="336">
        <f t="shared" ref="CB33:CB39" ca="1" si="77">_xlfn.MAXIFS(Fam_4_Early_Modern,Aff_4_Early_Modern,$BW33)</f>
        <v>1510</v>
      </c>
      <c r="CC33" s="336">
        <f t="shared" ref="CC33:CC39" ca="1" si="78">_xlfn.MAXIFS(Fam_5_Industrial,Aff_5_Industrial,$BW33)</f>
        <v>1720</v>
      </c>
      <c r="CD33" s="337">
        <f t="shared" ref="CD33:CD39" ca="1" si="79">_xlfn.MAXIFS(Fam_6_Contemporary,Aff_6_Contemporary,$BW33)</f>
        <v>3350</v>
      </c>
    </row>
    <row r="34" spans="1:82" x14ac:dyDescent="0.25">
      <c r="A34" s="574"/>
      <c r="B34" s="587"/>
      <c r="C34" s="100" t="s">
        <v>37</v>
      </c>
      <c r="D34" s="100"/>
      <c r="E34" s="475"/>
      <c r="F34" s="101" t="s">
        <v>88</v>
      </c>
      <c r="G34" s="101"/>
      <c r="H34" s="475"/>
      <c r="I34" s="102" t="s">
        <v>128</v>
      </c>
      <c r="J34" s="102"/>
      <c r="K34" s="475"/>
      <c r="L34" s="103" t="s">
        <v>136</v>
      </c>
      <c r="M34" s="103"/>
      <c r="N34" s="475"/>
      <c r="O34" s="104" t="s">
        <v>184</v>
      </c>
      <c r="P34" s="104"/>
      <c r="Q34" s="475"/>
      <c r="R34" s="317" t="s">
        <v>250</v>
      </c>
      <c r="BR34" s="181" t="s">
        <v>11</v>
      </c>
      <c r="BS34" s="391"/>
      <c r="BT34" s="204">
        <f>Cultures!L71+Cultures!L81+Cultures!L91+Cultures!L101+Cultures!L111+Cultures!L121</f>
        <v>11</v>
      </c>
      <c r="BU34" s="222">
        <f t="shared" si="74"/>
        <v>8.7301587301587297E-2</v>
      </c>
      <c r="BW34" s="319" t="str">
        <f t="shared" ref="BW34:BW39" si="80">LEFT(BX34,3)</f>
        <v>Agr</v>
      </c>
      <c r="BX34" s="89" t="s">
        <v>9</v>
      </c>
      <c r="BY34" s="338">
        <f t="shared" ref="BY34:BY39" ca="1" si="81">_xlfn.MAXIFS(Fam_1_Ancient,Aff_1_Ancient,$BW34)</f>
        <v>1050</v>
      </c>
      <c r="BZ34" s="338">
        <f t="shared" ca="1" si="75"/>
        <v>1450</v>
      </c>
      <c r="CA34" s="338">
        <f t="shared" ca="1" si="76"/>
        <v>1850</v>
      </c>
      <c r="CB34" s="338">
        <f t="shared" ca="1" si="77"/>
        <v>2050</v>
      </c>
      <c r="CC34" s="338">
        <f t="shared" ca="1" si="78"/>
        <v>2200</v>
      </c>
      <c r="CD34" s="339">
        <f t="shared" ca="1" si="79"/>
        <v>5950</v>
      </c>
    </row>
    <row r="35" spans="1:82" x14ac:dyDescent="0.25">
      <c r="A35" s="574"/>
      <c r="B35" s="587"/>
      <c r="C35" s="100" t="s">
        <v>52</v>
      </c>
      <c r="D35" s="100"/>
      <c r="E35" s="475"/>
      <c r="F35" s="101" t="s">
        <v>64</v>
      </c>
      <c r="G35" s="101"/>
      <c r="H35" s="475"/>
      <c r="I35" s="102" t="s">
        <v>96</v>
      </c>
      <c r="J35" s="102"/>
      <c r="K35" s="475"/>
      <c r="L35" s="103" t="s">
        <v>140</v>
      </c>
      <c r="M35" s="103"/>
      <c r="N35" s="475"/>
      <c r="O35" s="104" t="s">
        <v>176</v>
      </c>
      <c r="P35" s="104"/>
      <c r="Q35" s="475"/>
      <c r="R35" s="317" t="s">
        <v>219</v>
      </c>
      <c r="BR35" s="181" t="s">
        <v>538</v>
      </c>
      <c r="BS35" s="391"/>
      <c r="BT35" s="204">
        <f>Cultures!L72+Cultures!L82+Cultures!L92+Cultures!L102+Cultures!L112+Cultures!L122</f>
        <v>29</v>
      </c>
      <c r="BU35" s="222">
        <f t="shared" si="74"/>
        <v>0.23015873015873015</v>
      </c>
      <c r="BW35" s="319" t="str">
        <f t="shared" si="80"/>
        <v>Exp</v>
      </c>
      <c r="BX35" s="89" t="s">
        <v>10</v>
      </c>
      <c r="BY35" s="338">
        <f t="shared" ca="1" si="81"/>
        <v>1450</v>
      </c>
      <c r="BZ35" s="338">
        <f t="shared" ca="1" si="75"/>
        <v>1950</v>
      </c>
      <c r="CA35" s="338">
        <f t="shared" ca="1" si="76"/>
        <v>1250</v>
      </c>
      <c r="CB35" s="338">
        <f t="shared" ca="1" si="77"/>
        <v>1350</v>
      </c>
      <c r="CC35" s="338">
        <f t="shared" ca="1" si="78"/>
        <v>1950</v>
      </c>
      <c r="CD35" s="339">
        <f t="shared" ca="1" si="79"/>
        <v>4150</v>
      </c>
    </row>
    <row r="36" spans="1:82" x14ac:dyDescent="0.25">
      <c r="A36" s="574"/>
      <c r="B36" s="587"/>
      <c r="C36" s="100" t="s">
        <v>44</v>
      </c>
      <c r="D36" s="100"/>
      <c r="E36" s="475"/>
      <c r="F36" s="101" t="s">
        <v>84</v>
      </c>
      <c r="G36" s="101"/>
      <c r="H36" s="475"/>
      <c r="I36" s="102" t="s">
        <v>120</v>
      </c>
      <c r="J36" s="102"/>
      <c r="K36" s="475"/>
      <c r="L36" s="103" t="s">
        <v>144</v>
      </c>
      <c r="M36" s="103"/>
      <c r="N36" s="475"/>
      <c r="O36" s="104" t="s">
        <v>208</v>
      </c>
      <c r="P36" s="104"/>
      <c r="Q36" s="475"/>
      <c r="R36" s="317" t="s">
        <v>242</v>
      </c>
      <c r="BR36" s="181" t="s">
        <v>12</v>
      </c>
      <c r="BS36" s="391"/>
      <c r="BT36" s="204">
        <f>Cultures!L73+Cultures!L83+Cultures!L93+Cultures!L103+Cultures!L113+Cultures!L123</f>
        <v>10</v>
      </c>
      <c r="BU36" s="222">
        <f t="shared" si="74"/>
        <v>7.9365079365079361E-2</v>
      </c>
      <c r="BW36" s="319" t="str">
        <f t="shared" si="80"/>
        <v>Mil</v>
      </c>
      <c r="BX36" s="89" t="s">
        <v>11</v>
      </c>
      <c r="BY36" s="338">
        <f t="shared" ca="1" si="81"/>
        <v>1500</v>
      </c>
      <c r="BZ36" s="338">
        <f t="shared" ca="1" si="75"/>
        <v>1550</v>
      </c>
      <c r="CA36" s="338">
        <f t="shared" ca="1" si="76"/>
        <v>1600</v>
      </c>
      <c r="CB36" s="338">
        <f t="shared" ca="1" si="77"/>
        <v>1450</v>
      </c>
      <c r="CC36" s="338">
        <f t="shared" ca="1" si="78"/>
        <v>3350</v>
      </c>
      <c r="CD36" s="477"/>
    </row>
    <row r="37" spans="1:82" x14ac:dyDescent="0.25">
      <c r="A37" s="574"/>
      <c r="B37" s="587"/>
      <c r="C37" s="100" t="s">
        <v>21</v>
      </c>
      <c r="D37" s="100"/>
      <c r="E37" s="475"/>
      <c r="F37" s="101" t="s">
        <v>60</v>
      </c>
      <c r="G37" s="101"/>
      <c r="H37" s="475"/>
      <c r="I37" s="102" t="s">
        <v>124</v>
      </c>
      <c r="J37" s="102"/>
      <c r="K37" s="475"/>
      <c r="L37" s="103" t="s">
        <v>148</v>
      </c>
      <c r="M37" s="103"/>
      <c r="N37" s="475"/>
      <c r="O37" s="104" t="s">
        <v>192</v>
      </c>
      <c r="P37" s="104"/>
      <c r="Q37" s="475"/>
      <c r="R37" s="317" t="s">
        <v>227</v>
      </c>
      <c r="BR37" s="181" t="s">
        <v>13</v>
      </c>
      <c r="BS37" s="391"/>
      <c r="BT37" s="204">
        <f>Cultures!L74+Cultures!L84+Cultures!L94+Cultures!L104+Cultures!L114+Cultures!L124</f>
        <v>24</v>
      </c>
      <c r="BU37" s="222">
        <f t="shared" si="74"/>
        <v>0.19047619047619047</v>
      </c>
      <c r="BW37" s="319" t="str">
        <f t="shared" si="80"/>
        <v>Aes</v>
      </c>
      <c r="BX37" s="89" t="s">
        <v>538</v>
      </c>
      <c r="BY37" s="338">
        <f t="shared" ca="1" si="81"/>
        <v>2100</v>
      </c>
      <c r="BZ37" s="338">
        <f t="shared" ca="1" si="75"/>
        <v>2050</v>
      </c>
      <c r="CA37" s="338">
        <f t="shared" ca="1" si="76"/>
        <v>1750</v>
      </c>
      <c r="CB37" s="338">
        <f t="shared" ca="1" si="77"/>
        <v>2350</v>
      </c>
      <c r="CC37" s="338">
        <f t="shared" ca="1" si="78"/>
        <v>2900</v>
      </c>
      <c r="CD37" s="339">
        <f t="shared" ca="1" si="79"/>
        <v>6850</v>
      </c>
    </row>
    <row r="38" spans="1:82" x14ac:dyDescent="0.25">
      <c r="A38" s="574"/>
      <c r="B38" s="587"/>
      <c r="C38" s="100" t="s">
        <v>41</v>
      </c>
      <c r="D38" s="100"/>
      <c r="E38" s="475"/>
      <c r="F38" s="101" t="s">
        <v>92</v>
      </c>
      <c r="G38" s="101"/>
      <c r="H38" s="475"/>
      <c r="I38" s="102" t="s">
        <v>100</v>
      </c>
      <c r="J38" s="102"/>
      <c r="K38" s="475"/>
      <c r="L38" s="103" t="s">
        <v>160</v>
      </c>
      <c r="M38" s="103"/>
      <c r="N38" s="475"/>
      <c r="O38" s="104" t="s">
        <v>196</v>
      </c>
      <c r="P38" s="104"/>
      <c r="Q38" s="475"/>
      <c r="R38" s="317" t="s">
        <v>223</v>
      </c>
      <c r="BR38" s="113" t="s">
        <v>562</v>
      </c>
      <c r="BS38" s="297"/>
      <c r="BT38" s="224">
        <f>SUM(BT31:BT37)</f>
        <v>126</v>
      </c>
      <c r="BU38" s="222">
        <f t="shared" si="74"/>
        <v>1</v>
      </c>
      <c r="BW38" s="319" t="str">
        <f t="shared" si="80"/>
        <v>Mer</v>
      </c>
      <c r="BX38" s="89" t="s">
        <v>12</v>
      </c>
      <c r="BY38" s="338">
        <f t="shared" ca="1" si="81"/>
        <v>1460</v>
      </c>
      <c r="BZ38" s="338">
        <f t="shared" ca="1" si="75"/>
        <v>1400</v>
      </c>
      <c r="CA38" s="338">
        <f t="shared" ca="1" si="76"/>
        <v>1171</v>
      </c>
      <c r="CB38" s="338">
        <f t="shared" ca="1" si="77"/>
        <v>1400</v>
      </c>
      <c r="CC38" s="478"/>
      <c r="CD38" s="339">
        <f t="shared" ca="1" si="79"/>
        <v>7500</v>
      </c>
    </row>
    <row r="39" spans="1:82" ht="13.8" thickBot="1" x14ac:dyDescent="0.3">
      <c r="A39" s="574"/>
      <c r="B39" s="587"/>
      <c r="C39" s="100" t="s">
        <v>24</v>
      </c>
      <c r="D39" s="100"/>
      <c r="E39" s="475"/>
      <c r="F39" s="101" t="s">
        <v>76</v>
      </c>
      <c r="G39" s="101"/>
      <c r="H39" s="475"/>
      <c r="I39" s="102" t="s">
        <v>104</v>
      </c>
      <c r="J39" s="102"/>
      <c r="K39" s="475"/>
      <c r="L39" s="103" t="s">
        <v>164</v>
      </c>
      <c r="M39" s="103"/>
      <c r="N39" s="475"/>
      <c r="O39" s="104" t="s">
        <v>180</v>
      </c>
      <c r="P39" s="104"/>
      <c r="Q39" s="475"/>
      <c r="R39" s="317" t="s">
        <v>231</v>
      </c>
      <c r="BR39" s="207" t="s">
        <v>563</v>
      </c>
      <c r="BS39" s="392"/>
      <c r="BT39" s="260">
        <f>BT38/6</f>
        <v>21</v>
      </c>
      <c r="BU39" s="197"/>
      <c r="BW39" s="320" t="str">
        <f t="shared" si="80"/>
        <v>Sci</v>
      </c>
      <c r="BX39" s="95" t="s">
        <v>13</v>
      </c>
      <c r="BY39" s="340">
        <f t="shared" ca="1" si="81"/>
        <v>882</v>
      </c>
      <c r="BZ39" s="340">
        <f t="shared" ca="1" si="75"/>
        <v>1450</v>
      </c>
      <c r="CA39" s="340">
        <f t="shared" ca="1" si="76"/>
        <v>1350</v>
      </c>
      <c r="CB39" s="340">
        <f t="shared" ca="1" si="77"/>
        <v>1319</v>
      </c>
      <c r="CC39" s="340">
        <f t="shared" ca="1" si="78"/>
        <v>3900</v>
      </c>
      <c r="CD39" s="341">
        <f t="shared" ca="1" si="79"/>
        <v>5850</v>
      </c>
    </row>
    <row r="40" spans="1:82" ht="13.8" thickBot="1" x14ac:dyDescent="0.3">
      <c r="A40" s="574"/>
      <c r="B40" s="587"/>
      <c r="C40" s="100" t="s">
        <v>33</v>
      </c>
      <c r="D40" s="100"/>
      <c r="E40" s="475"/>
      <c r="F40" s="101" t="s">
        <v>68</v>
      </c>
      <c r="G40" s="101"/>
      <c r="H40" s="475"/>
      <c r="I40" s="102" t="s">
        <v>112</v>
      </c>
      <c r="J40" s="102"/>
      <c r="K40" s="475"/>
      <c r="L40" s="103" t="s">
        <v>168</v>
      </c>
      <c r="M40" s="103"/>
      <c r="N40" s="475"/>
      <c r="O40" s="104" t="s">
        <v>204</v>
      </c>
      <c r="P40" s="104"/>
      <c r="Q40" s="475"/>
      <c r="R40" s="317" t="s">
        <v>235</v>
      </c>
    </row>
    <row r="41" spans="1:82" ht="13.8" thickBot="1" x14ac:dyDescent="0.3">
      <c r="A41" s="575"/>
      <c r="B41" s="587"/>
      <c r="C41" s="100" t="s">
        <v>48</v>
      </c>
      <c r="D41" s="100"/>
      <c r="E41" s="475"/>
      <c r="F41" s="101" t="s">
        <v>72</v>
      </c>
      <c r="G41" s="101"/>
      <c r="H41" s="475"/>
      <c r="I41" s="102" t="s">
        <v>132</v>
      </c>
      <c r="J41" s="102"/>
      <c r="K41" s="475"/>
      <c r="L41" s="103" t="s">
        <v>172</v>
      </c>
      <c r="M41" s="103"/>
      <c r="N41" s="475"/>
      <c r="O41" s="104" t="s">
        <v>212</v>
      </c>
      <c r="P41" s="104"/>
      <c r="Q41" s="475"/>
      <c r="R41" s="317" t="s">
        <v>216</v>
      </c>
      <c r="BR41" s="45" t="s">
        <v>16</v>
      </c>
      <c r="BS41" s="393"/>
      <c r="BT41" s="73" t="s">
        <v>661</v>
      </c>
      <c r="BU41" s="69" t="s">
        <v>557</v>
      </c>
    </row>
    <row r="42" spans="1:82" x14ac:dyDescent="0.25">
      <c r="BR42" s="332" t="s">
        <v>254</v>
      </c>
      <c r="BS42" s="394"/>
      <c r="BT42" s="331">
        <f>_xlfn.MINIFS(My_0_Nomadic,My_0_Nomadic,"&gt;0")</f>
        <v>20</v>
      </c>
      <c r="BU42" s="333">
        <f>SUM(My_0_Nomadic)/$BT$39</f>
        <v>118.57142857142857</v>
      </c>
    </row>
    <row r="43" spans="1:82" x14ac:dyDescent="0.25">
      <c r="S43" s="97"/>
      <c r="BR43" s="90" t="s">
        <v>1</v>
      </c>
      <c r="BS43" s="395"/>
      <c r="BT43" s="331">
        <f>_xlfn.MINIFS(My_1_Ancient,My_1_Ancient,"&gt;0")</f>
        <v>617</v>
      </c>
      <c r="BU43" s="333">
        <f>SUM(My_1_Ancient)/$BT$39</f>
        <v>1167.8571428571429</v>
      </c>
      <c r="BX43" s="479" t="s">
        <v>721</v>
      </c>
    </row>
    <row r="44" spans="1:82" ht="13.2" customHeight="1" x14ac:dyDescent="0.25">
      <c r="B44" s="476" t="s">
        <v>712</v>
      </c>
      <c r="C44" s="577" t="s">
        <v>1</v>
      </c>
      <c r="D44" s="577"/>
      <c r="E44" s="577"/>
      <c r="F44" s="578" t="s">
        <v>2</v>
      </c>
      <c r="G44" s="578"/>
      <c r="H44" s="578"/>
      <c r="I44" s="579" t="s">
        <v>3</v>
      </c>
      <c r="J44" s="579"/>
      <c r="K44" s="579"/>
      <c r="L44" s="580" t="s">
        <v>4</v>
      </c>
      <c r="M44" s="580"/>
      <c r="N44" s="580"/>
      <c r="O44" s="581" t="s">
        <v>5</v>
      </c>
      <c r="P44" s="581"/>
      <c r="Q44" s="581"/>
      <c r="R44" s="576" t="s">
        <v>6</v>
      </c>
      <c r="S44" s="576"/>
      <c r="T44" s="576"/>
      <c r="BR44" s="91" t="s">
        <v>2</v>
      </c>
      <c r="BS44" s="396"/>
      <c r="BT44" s="331">
        <f>_xlfn.MINIFS(My_2_Classical,My_2_Classical,"&gt;0")</f>
        <v>824</v>
      </c>
      <c r="BU44" s="333">
        <f>SUM(My_2_Classical)/$BT$39</f>
        <v>1317.5238095238096</v>
      </c>
      <c r="BX44" s="480" t="s">
        <v>719</v>
      </c>
    </row>
    <row r="45" spans="1:82" ht="13.2" customHeight="1" x14ac:dyDescent="0.25">
      <c r="B45" s="345">
        <v>1</v>
      </c>
      <c r="C45" s="100" t="str" cm="1">
        <f t="array" aca="1" ref="C45" ca="1">INDIRECT(ADDRESS(ROW($C$22)+($B$45-1),COLUMN($C$22)+($B45-1)*3,1,FALSE),FALSE)</f>
        <v>Babylonians</v>
      </c>
      <c r="D45" s="100" t="str" cm="1">
        <f t="array" aca="1" ref="D45" ca="1">INDIRECT(ADDRESS(ROW($C$22)+($B$45-1),COLUMN($C$22)+($B45-1)*3+1,1,FALSE),FALSE)</f>
        <v>Sci</v>
      </c>
      <c r="E45" s="100" cm="1">
        <f t="array" aca="1" ref="E45" ca="1">INDIRECT(ADDRESS(ROW($C$22)+($B$45-1),COLUMN($C$22)+($B45-1)*3+2,1,FALSE),FALSE)</f>
        <v>882</v>
      </c>
      <c r="F45" s="101" t="str" cm="1">
        <f t="array" aca="1" ref="F45" ca="1">INDIRECT(ADDRESS(ROW($C$22)+($B$45-1)+1,COLUMN($C$22)+($B45-1)*3,1,FALSE),FALSE)</f>
        <v>Achaemenid Persians</v>
      </c>
      <c r="G45" s="101" t="str" cm="1">
        <f t="array" aca="1" ref="G45" ca="1">INDIRECT(ADDRESS(ROW($C$22)+($B$45-1)+1,COLUMN($C$22)+($B45-1)*3+1,1,FALSE),FALSE)</f>
        <v>Exp</v>
      </c>
      <c r="H45" s="101" cm="1">
        <f t="array" aca="1" ref="H45" ca="1">INDIRECT(ADDRESS(ROW($C$22)+($B$45-1)+1,COLUMN($C$22)+($B45-1)*3+2,1,FALSE),FALSE)</f>
        <v>971</v>
      </c>
      <c r="I45" s="102" t="str" cm="1">
        <f t="array" aca="1" ref="I45" ca="1">INDIRECT(ADDRESS(ROW($C$22)+($B$45-1)+2,COLUMN($C$22)+($B45-1)*3,1,FALSE),FALSE)</f>
        <v>Franks</v>
      </c>
      <c r="J45" s="102" t="str" cm="1">
        <f t="array" aca="1" ref="J45" ca="1">INDIRECT(ADDRESS(ROW($C$22)+($B$45-1)+2,COLUMN($C$22)+($B45-1)*3+1,1,FALSE),FALSE)</f>
        <v>Aes</v>
      </c>
      <c r="K45" s="102" cm="1">
        <f t="array" aca="1" ref="K45" ca="1">INDIRECT(ADDRESS(ROW($C$22)+($B$45-1)+2,COLUMN($C$22)+($B45-1)*3+2,1,FALSE),FALSE)</f>
        <v>1226</v>
      </c>
      <c r="L45" s="103" t="str" cm="1">
        <f t="array" aca="1" ref="L45" ca="1">INDIRECT(ADDRESS(ROW($C$22)+($B$45-1)+3,COLUMN($C$22)+($B45-1)*3,1,FALSE),FALSE)</f>
        <v>Joseon</v>
      </c>
      <c r="M45" s="103" t="str" cm="1">
        <f t="array" aca="1" ref="M45" ca="1">INDIRECT(ADDRESS(ROW($C$22)+($B$45-1)+3,COLUMN($C$22)+($B45-1)*3+1,1,FALSE),FALSE)</f>
        <v>Sci</v>
      </c>
      <c r="N45" s="103" cm="1">
        <f t="array" aca="1" ref="N45" ca="1">INDIRECT(ADDRESS(ROW($C$22)+($B$45-1)+3,COLUMN($C$22)+($B45-1)*3+2,1,FALSE),FALSE)</f>
        <v>1154</v>
      </c>
      <c r="O45" s="104" t="str" cm="1">
        <f t="array" aca="1" ref="O45" ca="1">INDIRECT(ADDRESS(ROW($C$22)+($B$45-1)+4,COLUMN($C$22)+($B45-1)*3,1,FALSE),FALSE)</f>
        <v>Persians</v>
      </c>
      <c r="P45" s="104" t="str" cm="1">
        <f t="array" aca="1" ref="P45" ca="1">INDIRECT(ADDRESS(ROW($C$22)+($B$45-1)+4,COLUMN($C$22)+($B45-1)*3+1,1,FALSE),FALSE)</f>
        <v>Bui</v>
      </c>
      <c r="Q45" s="104" cm="1">
        <f t="array" aca="1" ref="Q45" ca="1">INDIRECT(ADDRESS(ROW($C$22)+($B$45-1)+4,COLUMN($C$22)+($B45-1)*3+2,1,FALSE),FALSE)</f>
        <v>1063</v>
      </c>
      <c r="R45" s="317" t="str" cm="1">
        <f t="array" aca="1" ref="R45" ca="1">INDIRECT(ADDRESS(ROW($C$22)+($B$45-1)+5,COLUMN($C$22)+($B45-1)*3,1,FALSE),FALSE)</f>
        <v>Japanese</v>
      </c>
      <c r="S45" s="317" t="str" cm="1">
        <f t="array" aca="1" ref="S45" ca="1">INDIRECT(ADDRESS(ROW($C$22)+($B$45-1)+5,COLUMN($C$22)+($B45-1)*3+1,1,FALSE),FALSE)</f>
        <v>Sci</v>
      </c>
      <c r="T45" s="317" cm="1">
        <f t="array" aca="1" ref="T45" ca="1">INDIRECT(ADDRESS(ROW($C$22)+($B$45-1)+5,COLUMN($C$22)+($B45-1)*3+2,1,FALSE),FALSE)</f>
        <v>3326</v>
      </c>
      <c r="BR45" s="92" t="s">
        <v>3</v>
      </c>
      <c r="BS45" s="397"/>
      <c r="BT45" s="331">
        <f>_xlfn.MINIFS(My_3_Medieval,My_3_Medieval,"&gt;0")</f>
        <v>843</v>
      </c>
      <c r="BU45" s="333">
        <f>SUM(My_3_Medieval)/$BT$39</f>
        <v>1319.8095238095239</v>
      </c>
      <c r="BX45" s="481" t="s">
        <v>720</v>
      </c>
    </row>
    <row r="46" spans="1:82" x14ac:dyDescent="0.25">
      <c r="B46" s="345">
        <f>B45+1</f>
        <v>2</v>
      </c>
      <c r="C46" s="100" t="str" cm="1">
        <f t="array" aca="1" ref="C46" ca="1">INDIRECT(ADDRESS(ROW($C$22)+($B$45-1),COLUMN($C$22)+($B46-1)*3,1,FALSE),FALSE)</f>
        <v>Ancient Egyptians</v>
      </c>
      <c r="D46" s="100" t="str" cm="1">
        <f t="array" aca="1" ref="D46" ca="1">INDIRECT(ADDRESS(ROW($C$22)+($B$45-1),COLUMN($C$22)+($B46-1)*3+1,1,FALSE),FALSE)</f>
        <v>Bui</v>
      </c>
      <c r="E46" s="100" cm="1">
        <f t="array" aca="1" ref="E46" ca="1">INDIRECT(ADDRESS(ROW($C$22)+($B$45-1),COLUMN($C$22)+($B46-1)*3+2,1,FALSE),FALSE)</f>
        <v>617</v>
      </c>
      <c r="F46" s="101" t="str" cm="1">
        <f t="array" aca="1" ref="F46" ca="1">INDIRECT(ADDRESS(ROW($C$22)+($B$45-1)+1,COLUMN($C$22)+($B46-1)*3,1,FALSE),FALSE)</f>
        <v>Achaemenid Persians</v>
      </c>
      <c r="G46" s="101" t="str" cm="1">
        <f t="array" aca="1" ref="G46" ca="1">INDIRECT(ADDRESS(ROW($C$22)+($B$45-1)+1,COLUMN($C$22)+($B46-1)*3+1,1,FALSE),FALSE)</f>
        <v>Exp</v>
      </c>
      <c r="H46" s="101" cm="1">
        <f t="array" aca="1" ref="H46" ca="1">INDIRECT(ADDRESS(ROW($C$22)+($B$45-1)+1,COLUMN($C$22)+($B46-1)*3+2,1,FALSE),FALSE)</f>
        <v>865</v>
      </c>
      <c r="I46" s="102" t="str" cm="1">
        <f t="array" aca="1" ref="I46" ca="1">INDIRECT(ADDRESS(ROW($C$22)+($B$45-1)+2,COLUMN($C$22)+($B46-1)*3,1,FALSE),FALSE)</f>
        <v>Norsemen</v>
      </c>
      <c r="J46" s="102" t="str" cm="1">
        <f t="array" aca="1" ref="J46" ca="1">INDIRECT(ADDRESS(ROW($C$22)+($B$45-1)+2,COLUMN($C$22)+($B46-1)*3+1,1,FALSE),FALSE)</f>
        <v>Exp</v>
      </c>
      <c r="K46" s="102" cm="1">
        <f t="array" aca="1" ref="K46" ca="1">INDIRECT(ADDRESS(ROW($C$22)+($B$45-1)+2,COLUMN($C$22)+($B46-1)*3+2,1,FALSE),FALSE)</f>
        <v>1248</v>
      </c>
      <c r="L46" s="103" t="str" cm="1">
        <f t="array" aca="1" ref="L46" ca="1">INDIRECT(ADDRESS(ROW($C$22)+($B$45-1)+3,COLUMN($C$22)+($B46-1)*3,1,FALSE),FALSE)</f>
        <v>Joseon</v>
      </c>
      <c r="M46" s="103" t="str" cm="1">
        <f t="array" aca="1" ref="M46" ca="1">INDIRECT(ADDRESS(ROW($C$22)+($B$45-1)+3,COLUMN($C$22)+($B46-1)*3+1,1,FALSE),FALSE)</f>
        <v>Sci</v>
      </c>
      <c r="N46" s="103" cm="1">
        <f t="array" aca="1" ref="N46" ca="1">INDIRECT(ADDRESS(ROW($C$22)+($B$45-1)+3,COLUMN($C$22)+($B46-1)*3+2,1,FALSE),FALSE)</f>
        <v>1319</v>
      </c>
      <c r="O46" s="104" t="str" cm="1">
        <f t="array" aca="1" ref="O46" ca="1">INDIRECT(ADDRESS(ROW($C$22)+($B$45-1)+4,COLUMN($C$22)+($B46-1)*3,1,FALSE),FALSE)</f>
        <v>French</v>
      </c>
      <c r="P46" s="104" t="str" cm="1">
        <f t="array" aca="1" ref="P46" ca="1">INDIRECT(ADDRESS(ROW($C$22)+($B$45-1)+4,COLUMN($C$22)+($B46-1)*3+1,1,FALSE),FALSE)</f>
        <v>Sci</v>
      </c>
      <c r="Q46" s="104" cm="1">
        <f t="array" aca="1" ref="Q46" ca="1">INDIRECT(ADDRESS(ROW($C$22)+($B$45-1)+4,COLUMN($C$22)+($B46-1)*3+2,1,FALSE),FALSE)</f>
        <v>2364</v>
      </c>
      <c r="R46" s="317" t="str" cm="1">
        <f t="array" aca="1" ref="R46" ca="1">INDIRECT(ADDRESS(ROW($C$22)+($B$45-1)+5,COLUMN($C$22)+($B46-1)*3,1,FALSE),FALSE)</f>
        <v>Swedes</v>
      </c>
      <c r="S46" s="317" t="str" cm="1">
        <f t="array" aca="1" ref="S46" ca="1">INDIRECT(ADDRESS(ROW($C$22)+($B$45-1)+5,COLUMN($C$22)+($B46-1)*3+1,1,FALSE),FALSE)</f>
        <v>Sci</v>
      </c>
      <c r="T46" s="317" cm="1">
        <f t="array" aca="1" ref="T46" ca="1">INDIRECT(ADDRESS(ROW($C$22)+($B$45-1)+5,COLUMN($C$22)+($B46-1)*3+2,1,FALSE),FALSE)</f>
        <v>3997</v>
      </c>
      <c r="BR46" s="93" t="s">
        <v>4</v>
      </c>
      <c r="BS46" s="398"/>
      <c r="BT46" s="331">
        <f>_xlfn.MINIFS(My_4_Early_Modern,My_4_Early_Modern,"&gt;0")</f>
        <v>982</v>
      </c>
      <c r="BU46" s="333">
        <f>SUM(My_4_Early_Modern)/$BT$39</f>
        <v>1391.8095238095239</v>
      </c>
    </row>
    <row r="47" spans="1:82" x14ac:dyDescent="0.25">
      <c r="B47" s="345">
        <f>B46+1</f>
        <v>3</v>
      </c>
      <c r="C47" s="100" t="str" cm="1">
        <f t="array" aca="1" ref="C47" ca="1">INDIRECT(ADDRESS(ROW($C$22)+($B$45-1),COLUMN($C$22)+($B47-1)*3,1,FALSE),FALSE)</f>
        <v>Ancient Egyptians</v>
      </c>
      <c r="D47" s="100" t="str" cm="1">
        <f t="array" aca="1" ref="D47" ca="1">INDIRECT(ADDRESS(ROW($C$22)+($B$45-1),COLUMN($C$22)+($B47-1)*3+1,1,FALSE),FALSE)</f>
        <v>Bui</v>
      </c>
      <c r="E47" s="100" cm="1">
        <f t="array" aca="1" ref="E47" ca="1">INDIRECT(ADDRESS(ROW($C$22)+($B$45-1),COLUMN($C$22)+($B47-1)*3+2,1,FALSE),FALSE)</f>
        <v>854</v>
      </c>
      <c r="F47" s="101" t="str" cm="1">
        <f t="array" aca="1" ref="F47" ca="1">INDIRECT(ADDRESS(ROW($C$22)+($B$45-1)+1,COLUMN($C$22)+($B47-1)*3,1,FALSE),FALSE)</f>
        <v>Achaemenid Persians</v>
      </c>
      <c r="G47" s="101" t="str" cm="1">
        <f t="array" aca="1" ref="G47" ca="1">INDIRECT(ADDRESS(ROW($C$22)+($B$45-1)+1,COLUMN($C$22)+($B47-1)*3+1,1,FALSE),FALSE)</f>
        <v>Exp</v>
      </c>
      <c r="H47" s="101" cm="1">
        <f t="array" aca="1" ref="H47" ca="1">INDIRECT(ADDRESS(ROW($C$22)+($B$45-1)+1,COLUMN($C$22)+($B47-1)*3+2,1,FALSE),FALSE)</f>
        <v>1300</v>
      </c>
      <c r="I47" s="102" t="str" cm="1">
        <f t="array" aca="1" ref="I47" ca="1">INDIRECT(ADDRESS(ROW($C$22)+($B$45-1)+2,COLUMN($C$22)+($B47-1)*3,1,FALSE),FALSE)</f>
        <v>Khmer</v>
      </c>
      <c r="J47" s="102" t="str" cm="1">
        <f t="array" aca="1" ref="J47" ca="1">INDIRECT(ADDRESS(ROW($C$22)+($B$45-1)+2,COLUMN($C$22)+($B47-1)*3+1,1,FALSE),FALSE)</f>
        <v>Bui</v>
      </c>
      <c r="K47" s="102" cm="1">
        <f t="array" aca="1" ref="K47" ca="1">INDIRECT(ADDRESS(ROW($C$22)+($B$45-1)+2,COLUMN($C$22)+($B47-1)*3+2,1,FALSE),FALSE)</f>
        <v>1410</v>
      </c>
      <c r="L47" s="103" t="str" cm="1">
        <f t="array" aca="1" ref="L47" ca="1">INDIRECT(ADDRESS(ROW($C$22)+($B$45-1)+3,COLUMN($C$22)+($B47-1)*3,1,FALSE),FALSE)</f>
        <v>Poles</v>
      </c>
      <c r="M47" s="103" t="str" cm="1">
        <f t="array" aca="1" ref="M47" ca="1">INDIRECT(ADDRESS(ROW($C$22)+($B$45-1)+3,COLUMN($C$22)+($B47-1)*3+1,1,FALSE),FALSE)</f>
        <v>Mil</v>
      </c>
      <c r="N47" s="103" cm="1">
        <f t="array" aca="1" ref="N47" ca="1">INDIRECT(ADDRESS(ROW($C$22)+($B$45-1)+3,COLUMN($C$22)+($B47-1)*3+2,1,FALSE),FALSE)</f>
        <v>1071</v>
      </c>
      <c r="O47" s="104" t="str" cm="1">
        <f t="array" aca="1" ref="O47" ca="1">INDIRECT(ADDRESS(ROW($C$22)+($B$45-1)+4,COLUMN($C$22)+($B47-1)*3,1,FALSE),FALSE)</f>
        <v>French</v>
      </c>
      <c r="P47" s="104" t="str" cm="1">
        <f t="array" aca="1" ref="P47" ca="1">INDIRECT(ADDRESS(ROW($C$22)+($B$45-1)+4,COLUMN($C$22)+($B47-1)*3+1,1,FALSE),FALSE)</f>
        <v>Sci</v>
      </c>
      <c r="Q47" s="104" cm="1">
        <f t="array" aca="1" ref="Q47" ca="1">INDIRECT(ADDRESS(ROW($C$22)+($B$45-1)+4,COLUMN($C$22)+($B47-1)*3+2,1,FALSE),FALSE)</f>
        <v>1272</v>
      </c>
      <c r="R47" s="317" t="str" cm="1">
        <f t="array" aca="1" ref="R47" ca="1">INDIRECT(ADDRESS(ROW($C$22)+($B$45-1)+5,COLUMN($C$22)+($B47-1)*3,1,FALSE),FALSE)</f>
        <v>Egyptians</v>
      </c>
      <c r="S47" s="317" t="str" cm="1">
        <f t="array" aca="1" ref="S47" ca="1">INDIRECT(ADDRESS(ROW($C$22)+($B$45-1)+5,COLUMN($C$22)+($B47-1)*3+1,1,FALSE),FALSE)</f>
        <v>Aes</v>
      </c>
      <c r="T47" s="317" cm="1">
        <f t="array" aca="1" ref="T47" ca="1">INDIRECT(ADDRESS(ROW($C$22)+($B$45-1)+5,COLUMN($C$22)+($B47-1)*3+2,1,FALSE),FALSE)</f>
        <v>5464</v>
      </c>
      <c r="BR47" s="94" t="s">
        <v>5</v>
      </c>
      <c r="BS47" s="399"/>
      <c r="BT47" s="331">
        <f>_xlfn.MINIFS(My_5_Industrial,My_5_Industrial,"&gt;0")</f>
        <v>1063</v>
      </c>
      <c r="BU47" s="333">
        <f>SUM(My_5_Industrial)/$BT$39</f>
        <v>1907.6666666666667</v>
      </c>
    </row>
    <row r="48" spans="1:82" ht="13.8" thickBot="1" x14ac:dyDescent="0.3">
      <c r="B48" s="345">
        <f>B47+1</f>
        <v>4</v>
      </c>
      <c r="C48" s="100" t="str" cm="1">
        <f t="array" aca="1" ref="C48" ca="1">INDIRECT(ADDRESS(ROW($C$22)+($B$45-1),COLUMN($C$22)+($B48-1)*3,1,FALSE),FALSE)</f>
        <v>Babylonians</v>
      </c>
      <c r="D48" s="100" t="str" cm="1">
        <f t="array" aca="1" ref="D48" ca="1">INDIRECT(ADDRESS(ROW($C$22)+($B$45-1),COLUMN($C$22)+($B48-1)*3+1,1,FALSE),FALSE)</f>
        <v>Sci</v>
      </c>
      <c r="E48" s="100" cm="1">
        <f t="array" aca="1" ref="E48" ca="1">INDIRECT(ADDRESS(ROW($C$22)+($B$45-1),COLUMN($C$22)+($B48-1)*3+2,1,FALSE),FALSE)</f>
        <v>775</v>
      </c>
      <c r="F48" s="101" t="str" cm="1">
        <f t="array" aca="1" ref="F48" ca="1">INDIRECT(ADDRESS(ROW($C$22)+($B$45-1)+1,COLUMN($C$22)+($B48-1)*3,1,FALSE),FALSE)</f>
        <v>Achaemenid Persians</v>
      </c>
      <c r="G48" s="101" t="str" cm="1">
        <f t="array" aca="1" ref="G48" ca="1">INDIRECT(ADDRESS(ROW($C$22)+($B$45-1)+1,COLUMN($C$22)+($B48-1)*3+1,1,FALSE),FALSE)</f>
        <v>Exp</v>
      </c>
      <c r="H48" s="101" cm="1">
        <f t="array" aca="1" ref="H48" ca="1">INDIRECT(ADDRESS(ROW($C$22)+($B$45-1)+1,COLUMN($C$22)+($B48-1)*3+2,1,FALSE),FALSE)</f>
        <v>824</v>
      </c>
      <c r="I48" s="102" t="str" cm="1">
        <f t="array" aca="1" ref="I48" ca="1">INDIRECT(ADDRESS(ROW($C$22)+($B$45-1)+2,COLUMN($C$22)+($B48-1)*3,1,FALSE),FALSE)</f>
        <v>Khmer</v>
      </c>
      <c r="J48" s="102" t="str" cm="1">
        <f t="array" aca="1" ref="J48" ca="1">INDIRECT(ADDRESS(ROW($C$22)+($B$45-1)+2,COLUMN($C$22)+($B48-1)*3+1,1,FALSE),FALSE)</f>
        <v>Bui</v>
      </c>
      <c r="K48" s="102" cm="1">
        <f t="array" aca="1" ref="K48" ca="1">INDIRECT(ADDRESS(ROW($C$22)+($B$45-1)+2,COLUMN($C$22)+($B48-1)*3+2,1,FALSE),FALSE)</f>
        <v>843</v>
      </c>
      <c r="L48" s="103" t="str" cm="1">
        <f t="array" aca="1" ref="L48" ca="1">INDIRECT(ADDRESS(ROW($C$22)+($B$45-1)+3,COLUMN($C$22)+($B48-1)*3,1,FALSE),FALSE)</f>
        <v>Ming</v>
      </c>
      <c r="M48" s="103" t="str" cm="1">
        <f t="array" aca="1" ref="M48" ca="1">INDIRECT(ADDRESS(ROW($C$22)+($B$45-1)+3,COLUMN($C$22)+($B48-1)*3+1,1,FALSE),FALSE)</f>
        <v>Aes</v>
      </c>
      <c r="N48" s="103" cm="1">
        <f t="array" aca="1" ref="N48" ca="1">INDIRECT(ADDRESS(ROW($C$22)+($B$45-1)+3,COLUMN($C$22)+($B48-1)*3+2,1,FALSE),FALSE)</f>
        <v>1462</v>
      </c>
      <c r="O48" s="104" t="str" cm="1">
        <f t="array" aca="1" ref="O48" ca="1">INDIRECT(ADDRESS(ROW($C$22)+($B$45-1)+4,COLUMN($C$22)+($B48-1)*3,1,FALSE),FALSE)</f>
        <v>French</v>
      </c>
      <c r="P48" s="104" t="str" cm="1">
        <f t="array" aca="1" ref="P48" ca="1">INDIRECT(ADDRESS(ROW($C$22)+($B$45-1)+4,COLUMN($C$22)+($B48-1)*3+1,1,FALSE),FALSE)</f>
        <v>Sci</v>
      </c>
      <c r="Q48" s="104" cm="1">
        <f t="array" aca="1" ref="Q48" ca="1">INDIRECT(ADDRESS(ROW($C$22)+($B$45-1)+4,COLUMN($C$22)+($B48-1)*3+2,1,FALSE),FALSE)</f>
        <v>2060</v>
      </c>
      <c r="R48" s="317" t="str" cm="1">
        <f t="array" aca="1" ref="R48" ca="1">INDIRECT(ADDRESS(ROW($C$22)+($B$45-1)+5,COLUMN($C$22)+($B48-1)*3,1,FALSE),FALSE)</f>
        <v>Swedes</v>
      </c>
      <c r="S48" s="317" t="str" cm="1">
        <f t="array" aca="1" ref="S48" ca="1">INDIRECT(ADDRESS(ROW($C$22)+($B$45-1)+5,COLUMN($C$22)+($B48-1)*3+1,1,FALSE),FALSE)</f>
        <v>Sci</v>
      </c>
      <c r="T48" s="317" cm="1">
        <f t="array" aca="1" ref="T48" ca="1">INDIRECT(ADDRESS(ROW($C$22)+($B$45-1)+5,COLUMN($C$22)+($B48-1)*3+2,1,FALSE),FALSE)</f>
        <v>4475</v>
      </c>
      <c r="BR48" s="106" t="s">
        <v>6</v>
      </c>
      <c r="BS48" s="400"/>
      <c r="BT48" s="334">
        <f>_xlfn.MINIFS(My_6_Contemporary,My_6_Contemporary,"&gt;0")</f>
        <v>2100</v>
      </c>
      <c r="BU48" s="335">
        <f>SUM(My_6_Contemporary)/$BT$39</f>
        <v>4716.5238095238092</v>
      </c>
    </row>
    <row r="49" spans="1:37" x14ac:dyDescent="0.25">
      <c r="B49" s="345">
        <f>B48+1</f>
        <v>5</v>
      </c>
      <c r="C49" s="100" t="str" cm="1">
        <f t="array" aca="1" ref="C49" ca="1">INDIRECT(ADDRESS(ROW($C$22)+($B$45-1),COLUMN($C$22)+($B49-1)*3,1,FALSE),FALSE)</f>
        <v>Ancient Egyptians</v>
      </c>
      <c r="D49" s="100" t="str" cm="1">
        <f t="array" aca="1" ref="D49" ca="1">INDIRECT(ADDRESS(ROW($C$22)+($B$45-1),COLUMN($C$22)+($B49-1)*3+1,1,FALSE),FALSE)</f>
        <v>Bui</v>
      </c>
      <c r="E49" s="100" cm="1">
        <f t="array" aca="1" ref="E49" ca="1">INDIRECT(ADDRESS(ROW($C$22)+($B$45-1),COLUMN($C$22)+($B49-1)*3+2,1,FALSE),FALSE)</f>
        <v>964</v>
      </c>
      <c r="F49" s="101" t="str" cm="1">
        <f t="array" aca="1" ref="F49" ca="1">INDIRECT(ADDRESS(ROW($C$22)+($B$45-1)+1,COLUMN($C$22)+($B49-1)*3,1,FALSE),FALSE)</f>
        <v>Mauryans</v>
      </c>
      <c r="G49" s="101" t="str" cm="1">
        <f t="array" aca="1" ref="G49" ca="1">INDIRECT(ADDRESS(ROW($C$22)+($B$45-1)+1,COLUMN($C$22)+($B49-1)*3+1,1,FALSE),FALSE)</f>
        <v>Aes</v>
      </c>
      <c r="H49" s="101" cm="1">
        <f t="array" aca="1" ref="H49" ca="1">INDIRECT(ADDRESS(ROW($C$22)+($B$45-1)+1,COLUMN($C$22)+($B49-1)*3+2,1,FALSE),FALSE)</f>
        <v>1390</v>
      </c>
      <c r="I49" s="102" t="str" cm="1">
        <f t="array" aca="1" ref="I49" ca="1">INDIRECT(ADDRESS(ROW($C$22)+($B$45-1)+2,COLUMN($C$22)+($B49-1)*3,1,FALSE),FALSE)</f>
        <v>Khmer</v>
      </c>
      <c r="J49" s="102" t="str" cm="1">
        <f t="array" aca="1" ref="J49" ca="1">INDIRECT(ADDRESS(ROW($C$22)+($B$45-1)+2,COLUMN($C$22)+($B49-1)*3+1,1,FALSE),FALSE)</f>
        <v>Bui</v>
      </c>
      <c r="K49" s="102" cm="1">
        <f t="array" aca="1" ref="K49" ca="1">INDIRECT(ADDRESS(ROW($C$22)+($B$45-1)+2,COLUMN($C$22)+($B49-1)*3+2,1,FALSE),FALSE)</f>
        <v>908</v>
      </c>
      <c r="L49" s="103" t="str" cm="1">
        <f t="array" aca="1" ref="L49" ca="1">INDIRECT(ADDRESS(ROW($C$22)+($B$45-1)+3,COLUMN($C$22)+($B49-1)*3,1,FALSE),FALSE)</f>
        <v>Ming</v>
      </c>
      <c r="M49" s="103" t="str" cm="1">
        <f t="array" aca="1" ref="M49" ca="1">INDIRECT(ADDRESS(ROW($C$22)+($B$45-1)+3,COLUMN($C$22)+($B49-1)*3+1,1,FALSE),FALSE)</f>
        <v>Aes</v>
      </c>
      <c r="N49" s="103" cm="1">
        <f t="array" aca="1" ref="N49" ca="1">INDIRECT(ADDRESS(ROW($C$22)+($B$45-1)+3,COLUMN($C$22)+($B49-1)*3+2,1,FALSE),FALSE)</f>
        <v>1200</v>
      </c>
      <c r="O49" s="104" t="str" cm="1">
        <f t="array" aca="1" ref="O49" ca="1">INDIRECT(ADDRESS(ROW($C$22)+($B$45-1)+4,COLUMN($C$22)+($B49-1)*3,1,FALSE),FALSE)</f>
        <v>French</v>
      </c>
      <c r="P49" s="104" t="str" cm="1">
        <f t="array" aca="1" ref="P49" ca="1">INDIRECT(ADDRESS(ROW($C$22)+($B$45-1)+4,COLUMN($C$22)+($B49-1)*3+1,1,FALSE),FALSE)</f>
        <v>Sci</v>
      </c>
      <c r="Q49" s="104" cm="1">
        <f t="array" aca="1" ref="Q49" ca="1">INDIRECT(ADDRESS(ROW($C$22)+($B$45-1)+4,COLUMN($C$22)+($B49-1)*3+2,1,FALSE),FALSE)</f>
        <v>1357</v>
      </c>
      <c r="R49" s="317" t="str" cm="1">
        <f t="array" aca="1" ref="R49" ca="1">INDIRECT(ADDRESS(ROW($C$22)+($B$45-1)+5,COLUMN($C$22)+($B49-1)*3,1,FALSE),FALSE)</f>
        <v>Swedes</v>
      </c>
      <c r="S49" s="317" t="str" cm="1">
        <f t="array" aca="1" ref="S49" ca="1">INDIRECT(ADDRESS(ROW($C$22)+($B$45-1)+5,COLUMN($C$22)+($B49-1)*3+1,1,FALSE),FALSE)</f>
        <v>Sci</v>
      </c>
      <c r="T49" s="317" cm="1">
        <f t="array" aca="1" ref="T49" ca="1">INDIRECT(ADDRESS(ROW($C$22)+($B$45-1)+5,COLUMN($C$22)+($B49-1)*3+2,1,FALSE),FALSE)</f>
        <v>5455</v>
      </c>
    </row>
    <row r="50" spans="1:37" x14ac:dyDescent="0.25">
      <c r="A50" s="1"/>
      <c r="B50" s="345">
        <f>B49+1</f>
        <v>6</v>
      </c>
      <c r="C50" s="100" t="str" cm="1">
        <f t="array" aca="1" ref="C50" ca="1">INDIRECT(ADDRESS(ROW($C$22)+($B$45-1),COLUMN($C$22)+($B50-1)*3,1,FALSE),FALSE)</f>
        <v>Ancient Egyptians</v>
      </c>
      <c r="D50" s="100" t="str" cm="1">
        <f t="array" aca="1" ref="D50" ca="1">INDIRECT(ADDRESS(ROW($C$22)+($B$45-1),COLUMN($C$22)+($B50-1)*3+1,1,FALSE),FALSE)</f>
        <v>Bui</v>
      </c>
      <c r="E50" s="100" cm="1">
        <f t="array" aca="1" ref="E50" ca="1">INDIRECT(ADDRESS(ROW($C$22)+($B$45-1),COLUMN($C$22)+($B50-1)*3+2,1,FALSE),FALSE)</f>
        <v>873</v>
      </c>
      <c r="F50" s="101" t="str" cm="1">
        <f t="array" aca="1" ref="F50" ca="1">INDIRECT(ADDRESS(ROW($C$22)+($B$45-1)+1,COLUMN($C$22)+($B50-1)*3,1,FALSE),FALSE)</f>
        <v>Achaemenid Persians</v>
      </c>
      <c r="G50" s="101" t="str" cm="1">
        <f t="array" aca="1" ref="G50" ca="1">INDIRECT(ADDRESS(ROW($C$22)+($B$45-1)+1,COLUMN($C$22)+($B50-1)*3+1,1,FALSE),FALSE)</f>
        <v>Exp</v>
      </c>
      <c r="H50" s="101" cm="1">
        <f t="array" aca="1" ref="H50" ca="1">INDIRECT(ADDRESS(ROW($C$22)+($B$45-1)+1,COLUMN($C$22)+($B50-1)*3+2,1,FALSE),FALSE)</f>
        <v>1168</v>
      </c>
      <c r="I50" s="102" t="str" cm="1">
        <f t="array" aca="1" ref="I50" ca="1">INDIRECT(ADDRESS(ROW($C$22)+($B$45-1)+2,COLUMN($C$22)+($B50-1)*3,1,FALSE),FALSE)</f>
        <v>Ghanaians</v>
      </c>
      <c r="J50" s="102" t="str" cm="1">
        <f t="array" aca="1" ref="J50" ca="1">INDIRECT(ADDRESS(ROW($C$22)+($B$45-1)+2,COLUMN($C$22)+($B50-1)*3+1,1,FALSE),FALSE)</f>
        <v>Mer</v>
      </c>
      <c r="K50" s="102" cm="1">
        <f t="array" aca="1" ref="K50" ca="1">INDIRECT(ADDRESS(ROW($C$22)+($B$45-1)+2,COLUMN($C$22)+($B50-1)*3+2,1,FALSE),FALSE)</f>
        <v>1171</v>
      </c>
      <c r="L50" s="103" t="str" cm="1">
        <f t="array" aca="1" ref="L50" ca="1">INDIRECT(ADDRESS(ROW($C$22)+($B$45-1)+3,COLUMN($C$22)+($B50-1)*3,1,FALSE),FALSE)</f>
        <v>Mughals</v>
      </c>
      <c r="M50" s="103" t="str" cm="1">
        <f t="array" aca="1" ref="M50" ca="1">INDIRECT(ADDRESS(ROW($C$22)+($B$45-1)+3,COLUMN($C$22)+($B50-1)*3+1,1,FALSE),FALSE)</f>
        <v>Bui</v>
      </c>
      <c r="N50" s="103" cm="1">
        <f t="array" aca="1" ref="N50" ca="1">INDIRECT(ADDRESS(ROW($C$22)+($B$45-1)+3,COLUMN($C$22)+($B50-1)*3+2,1,FALSE),FALSE)</f>
        <v>982</v>
      </c>
      <c r="O50" s="104" t="str" cm="1">
        <f t="array" aca="1" ref="O50" ca="1">INDIRECT(ADDRESS(ROW($C$22)+($B$45-1)+4,COLUMN($C$22)+($B50-1)*3,1,FALSE),FALSE)</f>
        <v>Persians</v>
      </c>
      <c r="P50" s="104" t="str" cm="1">
        <f t="array" aca="1" ref="P50" ca="1">INDIRECT(ADDRESS(ROW($C$22)+($B$45-1)+4,COLUMN($C$22)+($B50-1)*3+1,1,FALSE),FALSE)</f>
        <v>Bui</v>
      </c>
      <c r="Q50" s="104" cm="1">
        <f t="array" aca="1" ref="Q50" ca="1">INDIRECT(ADDRESS(ROW($C$22)+($B$45-1)+4,COLUMN($C$22)+($B50-1)*3+2,1,FALSE),FALSE)</f>
        <v>1155</v>
      </c>
      <c r="R50" s="317" t="str" cm="1">
        <f t="array" aca="1" ref="R50" ca="1">INDIRECT(ADDRESS(ROW($C$22)+($B$45-1)+5,COLUMN($C$22)+($B50-1)*3,1,FALSE),FALSE)</f>
        <v>Egyptians</v>
      </c>
      <c r="S50" s="317" t="str" cm="1">
        <f t="array" aca="1" ref="S50" ca="1">INDIRECT(ADDRESS(ROW($C$22)+($B$45-1)+5,COLUMN($C$22)+($B50-1)*3+1,1,FALSE),FALSE)</f>
        <v>Aes</v>
      </c>
      <c r="T50" s="317" cm="1">
        <f t="array" aca="1" ref="T50" ca="1">INDIRECT(ADDRESS(ROW($C$22)+($B$45-1)+5,COLUMN($C$22)+($B50-1)*3+2,1,FALSE),FALSE)</f>
        <v>6430</v>
      </c>
    </row>
    <row r="51" spans="1:37" x14ac:dyDescent="0.25">
      <c r="A51" s="1"/>
      <c r="B51" s="345">
        <f t="shared" ref="B51:B65" si="82">B50+1</f>
        <v>7</v>
      </c>
      <c r="C51" s="100" t="str" cm="1">
        <f t="array" aca="1" ref="C51" ca="1">INDIRECT(ADDRESS(ROW($C$22)+($B$45-1),COLUMN($C$22)+($B51-1)*3,1,FALSE),FALSE)</f>
        <v>Mycenaeans</v>
      </c>
      <c r="D51" s="100" t="str" cm="1">
        <f t="array" aca="1" ref="D51" ca="1">INDIRECT(ADDRESS(ROW($C$22)+($B$45-1),COLUMN($C$22)+($B51-1)*3+1,1,FALSE),FALSE)</f>
        <v>Mil</v>
      </c>
      <c r="E51" s="100" cm="1">
        <f t="array" aca="1" ref="E51" ca="1">INDIRECT(ADDRESS(ROW($C$22)+($B$45-1),COLUMN($C$22)+($B51-1)*3+2,1,FALSE),FALSE)</f>
        <v>1100</v>
      </c>
      <c r="F51" s="101" t="str" cm="1">
        <f t="array" aca="1" ref="F51" ca="1">INDIRECT(ADDRESS(ROW($C$22)+($B$45-1)+1,COLUMN($C$22)+($B51-1)*3,1,FALSE),FALSE)</f>
        <v>Maya</v>
      </c>
      <c r="G51" s="101" t="str" cm="1">
        <f t="array" aca="1" ref="G51" ca="1">INDIRECT(ADDRESS(ROW($C$22)+($B$45-1)+1,COLUMN($C$22)+($B51-1)*3+1,1,FALSE),FALSE)</f>
        <v>Bui</v>
      </c>
      <c r="H51" s="101" cm="1">
        <f t="array" aca="1" ref="H51" ca="1">INDIRECT(ADDRESS(ROW($C$22)+($B$45-1)+1,COLUMN($C$22)+($B51-1)*3+2,1,FALSE),FALSE)</f>
        <v>1480</v>
      </c>
      <c r="I51" s="102" t="str" cm="1">
        <f t="array" aca="1" ref="I51" ca="1">INDIRECT(ADDRESS(ROW($C$22)+($B$45-1)+2,COLUMN($C$22)+($B51-1)*3,1,FALSE),FALSE)</f>
        <v>Franks</v>
      </c>
      <c r="J51" s="102" t="str" cm="1">
        <f t="array" aca="1" ref="J51" ca="1">INDIRECT(ADDRESS(ROW($C$22)+($B$45-1)+2,COLUMN($C$22)+($B51-1)*3+1,1,FALSE),FALSE)</f>
        <v>Aes</v>
      </c>
      <c r="K51" s="102" cm="1">
        <f t="array" aca="1" ref="K51" ca="1">INDIRECT(ADDRESS(ROW($C$22)+($B$45-1)+2,COLUMN($C$22)+($B51-1)*3+2,1,FALSE),FALSE)</f>
        <v>1750</v>
      </c>
      <c r="L51" s="103" t="str" cm="1">
        <f t="array" aca="1" ref="L51" ca="1">INDIRECT(ADDRESS(ROW($C$22)+($B$45-1)+3,COLUMN($C$22)+($B51-1)*3,1,FALSE),FALSE)</f>
        <v>Edo Japanese</v>
      </c>
      <c r="M51" s="103" t="str" cm="1">
        <f t="array" aca="1" ref="M51" ca="1">INDIRECT(ADDRESS(ROW($C$22)+($B$45-1)+3,COLUMN($C$22)+($B51-1)*3+1,1,FALSE),FALSE)</f>
        <v>Aes</v>
      </c>
      <c r="N51" s="103" cm="1">
        <f t="array" aca="1" ref="N51" ca="1">INDIRECT(ADDRESS(ROW($C$22)+($B$45-1)+3,COLUMN($C$22)+($B51-1)*3+2,1,FALSE),FALSE)</f>
        <v>1500</v>
      </c>
      <c r="O51" s="104" t="str" cm="1">
        <f t="array" aca="1" ref="O51" ca="1">INDIRECT(ADDRESS(ROW($C$22)+($B$45-1)+4,COLUMN($C$22)+($B51-1)*3,1,FALSE),FALSE)</f>
        <v>French</v>
      </c>
      <c r="P51" s="104" t="str" cm="1">
        <f t="array" aca="1" ref="P51" ca="1">INDIRECT(ADDRESS(ROW($C$22)+($B$45-1)+4,COLUMN($C$22)+($B51-1)*3+1,1,FALSE),FALSE)</f>
        <v>Sci</v>
      </c>
      <c r="Q51" s="104" cm="1">
        <f t="array" aca="1" ref="Q51" ca="1">INDIRECT(ADDRESS(ROW($C$22)+($B$45-1)+4,COLUMN($C$22)+($B51-1)*3+2,1,FALSE),FALSE)</f>
        <v>1550</v>
      </c>
      <c r="R51" s="317" t="str" cm="1">
        <f t="array" aca="1" ref="R51" ca="1">INDIRECT(ADDRESS(ROW($C$22)+($B$45-1)+5,COLUMN($C$22)+($B51-1)*3,1,FALSE),FALSE)</f>
        <v>Australians</v>
      </c>
      <c r="S51" s="317" t="str" cm="1">
        <f t="array" aca="1" ref="S51" ca="1">INDIRECT(ADDRESS(ROW($C$22)+($B$45-1)+5,COLUMN($C$22)+($B51-1)*3+1,1,FALSE),FALSE)</f>
        <v>Bui</v>
      </c>
      <c r="T51" s="317" cm="1">
        <f t="array" aca="1" ref="T51" ca="1">INDIRECT(ADDRESS(ROW($C$22)+($B$45-1)+5,COLUMN($C$22)+($B51-1)*3+2,1,FALSE),FALSE)</f>
        <v>3350</v>
      </c>
      <c r="AK51" s="78"/>
    </row>
    <row r="52" spans="1:37" x14ac:dyDescent="0.25">
      <c r="A52" s="1"/>
      <c r="B52" s="345">
        <f t="shared" si="82"/>
        <v>8</v>
      </c>
      <c r="C52" s="100" t="str" cm="1">
        <f t="array" aca="1" ref="C52" ca="1">INDIRECT(ADDRESS(ROW($C$22)+($B$45-1),COLUMN($C$22)+($B52-1)*3,1,FALSE),FALSE)</f>
        <v>Phoenicians</v>
      </c>
      <c r="D52" s="100" t="str" cm="1">
        <f t="array" aca="1" ref="D52" ca="1">INDIRECT(ADDRESS(ROW($C$22)+($B$45-1),COLUMN($C$22)+($B52-1)*3+1,1,FALSE),FALSE)</f>
        <v>Mer</v>
      </c>
      <c r="E52" s="100" cm="1">
        <f t="array" aca="1" ref="E52" ca="1">INDIRECT(ADDRESS(ROW($C$22)+($B$45-1),COLUMN($C$22)+($B52-1)*3+2,1,FALSE),FALSE)</f>
        <v>1460</v>
      </c>
      <c r="F52" s="101" t="str" cm="1">
        <f t="array" aca="1" ref="F52" ca="1">INDIRECT(ADDRESS(ROW($C$22)+($B$45-1)+1,COLUMN($C$22)+($B52-1)*3,1,FALSE),FALSE)</f>
        <v>Maya</v>
      </c>
      <c r="G52" s="101" t="str" cm="1">
        <f t="array" aca="1" ref="G52" ca="1">INDIRECT(ADDRESS(ROW($C$22)+($B$45-1)+1,COLUMN($C$22)+($B52-1)*3+1,1,FALSE),FALSE)</f>
        <v>Bui</v>
      </c>
      <c r="H52" s="101" cm="1">
        <f t="array" aca="1" ref="H52" ca="1">INDIRECT(ADDRESS(ROW($C$22)+($B$45-1)+1,COLUMN($C$22)+($B52-1)*3+2,1,FALSE),FALSE)</f>
        <v>1070</v>
      </c>
      <c r="I52" s="102" t="str" cm="1">
        <f t="array" aca="1" ref="I52" ca="1">INDIRECT(ADDRESS(ROW($C$22)+($B$45-1)+2,COLUMN($C$22)+($B52-1)*3,1,FALSE),FALSE)</f>
        <v>Franks</v>
      </c>
      <c r="J52" s="102" t="str" cm="1">
        <f t="array" aca="1" ref="J52" ca="1">INDIRECT(ADDRESS(ROW($C$22)+($B$45-1)+2,COLUMN($C$22)+($B52-1)*3+1,1,FALSE),FALSE)</f>
        <v>Aes</v>
      </c>
      <c r="K52" s="102" cm="1">
        <f t="array" aca="1" ref="K52" ca="1">INDIRECT(ADDRESS(ROW($C$22)+($B$45-1)+2,COLUMN($C$22)+($B52-1)*3+2,1,FALSE),FALSE)</f>
        <v>1200</v>
      </c>
      <c r="L52" s="103" t="str" cm="1">
        <f t="array" aca="1" ref="L52" ca="1">INDIRECT(ADDRESS(ROW($C$22)+($B$45-1)+3,COLUMN($C$22)+($B52-1)*3,1,FALSE),FALSE)</f>
        <v>Joseon</v>
      </c>
      <c r="M52" s="103" t="str" cm="1">
        <f t="array" aca="1" ref="M52" ca="1">INDIRECT(ADDRESS(ROW($C$22)+($B$45-1)+3,COLUMN($C$22)+($B52-1)*3+1,1,FALSE),FALSE)</f>
        <v>Sci</v>
      </c>
      <c r="N52" s="103" cm="1">
        <f t="array" aca="1" ref="N52" ca="1">INDIRECT(ADDRESS(ROW($C$22)+($B$45-1)+3,COLUMN($C$22)+($B52-1)*3+2,1,FALSE),FALSE)</f>
        <v>1250</v>
      </c>
      <c r="O52" s="104" t="str" cm="1">
        <f t="array" aca="1" ref="O52" ca="1">INDIRECT(ADDRESS(ROW($C$22)+($B$45-1)+4,COLUMN($C$22)+($B52-1)*3,1,FALSE),FALSE)</f>
        <v>French</v>
      </c>
      <c r="P52" s="104" t="str" cm="1">
        <f t="array" aca="1" ref="P52" ca="1">INDIRECT(ADDRESS(ROW($C$22)+($B$45-1)+4,COLUMN($C$22)+($B52-1)*3+1,1,FALSE),FALSE)</f>
        <v>Sci</v>
      </c>
      <c r="Q52" s="104" cm="1">
        <f t="array" aca="1" ref="Q52" ca="1">INDIRECT(ADDRESS(ROW($C$22)+($B$45-1)+4,COLUMN($C$22)+($B52-1)*3+2,1,FALSE),FALSE)</f>
        <v>1650</v>
      </c>
      <c r="R52" s="317" t="str" cm="1">
        <f t="array" aca="1" ref="R52" ca="1">INDIRECT(ADDRESS(ROW($C$22)+($B$45-1)+5,COLUMN($C$22)+($B52-1)*3,1,FALSE),FALSE)</f>
        <v>Americans</v>
      </c>
      <c r="S52" s="317" t="str" cm="1">
        <f t="array" aca="1" ref="S52" ca="1">INDIRECT(ADDRESS(ROW($C$22)+($B$45-1)+5,COLUMN($C$22)+($B52-1)*3+1,1,FALSE),FALSE)</f>
        <v>Exp</v>
      </c>
      <c r="T52" s="317" cm="1">
        <f t="array" aca="1" ref="T52" ca="1">INDIRECT(ADDRESS(ROW($C$22)+($B$45-1)+5,COLUMN($C$22)+($B52-1)*3+2,1,FALSE),FALSE)</f>
        <v>3550</v>
      </c>
    </row>
    <row r="53" spans="1:37" x14ac:dyDescent="0.25">
      <c r="A53" s="1"/>
      <c r="B53" s="345">
        <f t="shared" si="82"/>
        <v>9</v>
      </c>
      <c r="C53" s="100" t="str" cm="1">
        <f t="array" aca="1" ref="C53" ca="1">INDIRECT(ADDRESS(ROW($C$22)+($B$45-1),COLUMN($C$22)+($B53-1)*3,1,FALSE),FALSE)</f>
        <v>Phoenicians</v>
      </c>
      <c r="D53" s="100" t="str" cm="1">
        <f t="array" aca="1" ref="D53" ca="1">INDIRECT(ADDRESS(ROW($C$22)+($B$45-1),COLUMN($C$22)+($B53-1)*3+1,1,FALSE),FALSE)</f>
        <v>Mer</v>
      </c>
      <c r="E53" s="100" cm="1">
        <f t="array" aca="1" ref="E53" ca="1">INDIRECT(ADDRESS(ROW($C$22)+($B$45-1),COLUMN($C$22)+($B53-1)*3+2,1,FALSE),FALSE)</f>
        <v>950</v>
      </c>
      <c r="F53" s="101" t="str" cm="1">
        <f t="array" aca="1" ref="F53" ca="1">INDIRECT(ADDRESS(ROW($C$22)+($B$45-1)+1,COLUMN($C$22)+($B53-1)*3,1,FALSE),FALSE)</f>
        <v>Greeks</v>
      </c>
      <c r="G53" s="101" t="str" cm="1">
        <f t="array" aca="1" ref="G53" ca="1">INDIRECT(ADDRESS(ROW($C$22)+($B$45-1)+1,COLUMN($C$22)+($B53-1)*3+1,1,FALSE),FALSE)</f>
        <v>Sci</v>
      </c>
      <c r="H53" s="101" cm="1">
        <f t="array" aca="1" ref="H53" ca="1">INDIRECT(ADDRESS(ROW($C$22)+($B$45-1)+1,COLUMN($C$22)+($B53-1)*3+2,1,FALSE),FALSE)</f>
        <v>950</v>
      </c>
      <c r="I53" s="102" t="str" cm="1">
        <f t="array" aca="1" ref="I53" ca="1">INDIRECT(ADDRESS(ROW($C$22)+($B$45-1)+2,COLUMN($C$22)+($B53-1)*3,1,FALSE),FALSE)</f>
        <v>Franks</v>
      </c>
      <c r="J53" s="102" t="str" cm="1">
        <f t="array" aca="1" ref="J53" ca="1">INDIRECT(ADDRESS(ROW($C$22)+($B$45-1)+2,COLUMN($C$22)+($B53-1)*3+1,1,FALSE),FALSE)</f>
        <v>Aes</v>
      </c>
      <c r="K53" s="102" cm="1">
        <f t="array" aca="1" ref="K53" ca="1">INDIRECT(ADDRESS(ROW($C$22)+($B$45-1)+2,COLUMN($C$22)+($B53-1)*3+2,1,FALSE),FALSE)</f>
        <v>1450</v>
      </c>
      <c r="L53" s="103" t="str" cm="1">
        <f t="array" aca="1" ref="L53" ca="1">INDIRECT(ADDRESS(ROW($C$22)+($B$45-1)+3,COLUMN($C$22)+($B53-1)*3,1,FALSE),FALSE)</f>
        <v>Mughals</v>
      </c>
      <c r="M53" s="103" t="str" cm="1">
        <f t="array" aca="1" ref="M53" ca="1">INDIRECT(ADDRESS(ROW($C$22)+($B$45-1)+3,COLUMN($C$22)+($B53-1)*3+1,1,FALSE),FALSE)</f>
        <v>Bui</v>
      </c>
      <c r="N53" s="103" cm="1">
        <f t="array" aca="1" ref="N53" ca="1">INDIRECT(ADDRESS(ROW($C$22)+($B$45-1)+3,COLUMN($C$22)+($B53-1)*3+2,1,FALSE),FALSE)</f>
        <v>1110</v>
      </c>
      <c r="O53" s="104" t="str" cm="1">
        <f t="array" aca="1" ref="O53" ca="1">INDIRECT(ADDRESS(ROW($C$22)+($B$45-1)+4,COLUMN($C$22)+($B53-1)*3,1,FALSE),FALSE)</f>
        <v>Persians</v>
      </c>
      <c r="P53" s="104" t="str" cm="1">
        <f t="array" aca="1" ref="P53" ca="1">INDIRECT(ADDRESS(ROW($C$22)+($B$45-1)+4,COLUMN($C$22)+($B53-1)*3+1,1,FALSE),FALSE)</f>
        <v>Bui</v>
      </c>
      <c r="Q53" s="104" cm="1">
        <f t="array" aca="1" ref="Q53" ca="1">INDIRECT(ADDRESS(ROW($C$22)+($B$45-1)+4,COLUMN($C$22)+($B53-1)*3+2,1,FALSE),FALSE)</f>
        <v>1520</v>
      </c>
      <c r="R53" s="317" t="str" cm="1">
        <f t="array" aca="1" ref="R53" ca="1">INDIRECT(ADDRESS(ROW($C$22)+($B$45-1)+5,COLUMN($C$22)+($B53-1)*3,1,FALSE),FALSE)</f>
        <v>Swedes</v>
      </c>
      <c r="S53" s="317" t="str" cm="1">
        <f t="array" aca="1" ref="S53" ca="1">INDIRECT(ADDRESS(ROW($C$22)+($B$45-1)+5,COLUMN($C$22)+($B53-1)*3+1,1,FALSE),FALSE)</f>
        <v>Sci</v>
      </c>
      <c r="T53" s="317" cm="1">
        <f t="array" aca="1" ref="T53" ca="1">INDIRECT(ADDRESS(ROW($C$22)+($B$45-1)+5,COLUMN($C$22)+($B53-1)*3+2,1,FALSE),FALSE)</f>
        <v>5850</v>
      </c>
    </row>
    <row r="54" spans="1:37" x14ac:dyDescent="0.25">
      <c r="A54" s="1"/>
      <c r="B54" s="345">
        <f t="shared" si="82"/>
        <v>10</v>
      </c>
      <c r="C54" s="100" t="str" cm="1">
        <f t="array" aca="1" ref="C54" ca="1">INDIRECT(ADDRESS(ROW($C$22)+($B$45-1),COLUMN($C$22)+($B54-1)*3,1,FALSE),FALSE)</f>
        <v>Phoenicians</v>
      </c>
      <c r="D54" s="100" t="str" cm="1">
        <f t="array" aca="1" ref="D54" ca="1">INDIRECT(ADDRESS(ROW($C$22)+($B$45-1),COLUMN($C$22)+($B54-1)*3+1,1,FALSE),FALSE)</f>
        <v>Mer</v>
      </c>
      <c r="E54" s="100" cm="1">
        <f t="array" aca="1" ref="E54" ca="1">INDIRECT(ADDRESS(ROW($C$22)+($B$45-1),COLUMN($C$22)+($B54-1)*3+2,1,FALSE),FALSE)</f>
        <v>1150</v>
      </c>
      <c r="F54" s="101" t="str" cm="1">
        <f t="array" aca="1" ref="F54" ca="1">INDIRECT(ADDRESS(ROW($C$22)+($B$45-1)+1,COLUMN($C$22)+($B54-1)*3,1,FALSE),FALSE)</f>
        <v>Greeks</v>
      </c>
      <c r="G54" s="101" t="str" cm="1">
        <f t="array" aca="1" ref="G54" ca="1">INDIRECT(ADDRESS(ROW($C$22)+($B$45-1)+1,COLUMN($C$22)+($B54-1)*3+1,1,FALSE),FALSE)</f>
        <v>Sci</v>
      </c>
      <c r="H54" s="101" cm="1">
        <f t="array" aca="1" ref="H54" ca="1">INDIRECT(ADDRESS(ROW($C$22)+($B$45-1)+1,COLUMN($C$22)+($B54-1)*3+2,1,FALSE),FALSE)</f>
        <v>1100</v>
      </c>
      <c r="I54" s="102" t="str" cm="1">
        <f t="array" aca="1" ref="I54" ca="1">INDIRECT(ADDRESS(ROW($C$22)+($B$45-1)+2,COLUMN($C$22)+($B54-1)*3,1,FALSE),FALSE)</f>
        <v>Franks</v>
      </c>
      <c r="J54" s="102" t="str" cm="1">
        <f t="array" aca="1" ref="J54" ca="1">INDIRECT(ADDRESS(ROW($C$22)+($B$45-1)+2,COLUMN($C$22)+($B54-1)*3+1,1,FALSE),FALSE)</f>
        <v>Aes</v>
      </c>
      <c r="K54" s="102" cm="1">
        <f t="array" aca="1" ref="K54" ca="1">INDIRECT(ADDRESS(ROW($C$22)+($B$45-1)+2,COLUMN($C$22)+($B54-1)*3+2,1,FALSE),FALSE)</f>
        <v>900</v>
      </c>
      <c r="L54" s="103" t="str" cm="1">
        <f t="array" aca="1" ref="L54" ca="1">INDIRECT(ADDRESS(ROW($C$22)+($B$45-1)+3,COLUMN($C$22)+($B54-1)*3,1,FALSE),FALSE)</f>
        <v>Mughals</v>
      </c>
      <c r="M54" s="103" t="str" cm="1">
        <f t="array" aca="1" ref="M54" ca="1">INDIRECT(ADDRESS(ROW($C$22)+($B$45-1)+3,COLUMN($C$22)+($B54-1)*3+1,1,FALSE),FALSE)</f>
        <v>Bui</v>
      </c>
      <c r="N54" s="103" cm="1">
        <f t="array" aca="1" ref="N54" ca="1">INDIRECT(ADDRESS(ROW($C$22)+($B$45-1)+3,COLUMN($C$22)+($B54-1)*3+2,1,FALSE),FALSE)</f>
        <v>1070</v>
      </c>
      <c r="O54" s="104" t="str" cm="1">
        <f t="array" aca="1" ref="O54" ca="1">INDIRECT(ADDRESS(ROW($C$22)+($B$45-1)+4,COLUMN($C$22)+($B54-1)*3,1,FALSE),FALSE)</f>
        <v>Austro-Hungarians</v>
      </c>
      <c r="P54" s="104" t="str" cm="1">
        <f t="array" aca="1" ref="P54" ca="1">INDIRECT(ADDRESS(ROW($C$22)+($B$45-1)+4,COLUMN($C$22)+($B54-1)*3+1,1,FALSE),FALSE)</f>
        <v>Aes</v>
      </c>
      <c r="Q54" s="104" cm="1">
        <f t="array" aca="1" ref="Q54" ca="1">INDIRECT(ADDRESS(ROW($C$22)+($B$45-1)+4,COLUMN($C$22)+($B54-1)*3+2,1,FALSE),FALSE)</f>
        <v>2900</v>
      </c>
      <c r="R54" s="317" t="str" cm="1">
        <f t="array" aca="1" ref="R54" ca="1">INDIRECT(ADDRESS(ROW($C$22)+($B$45-1)+5,COLUMN($C$22)+($B54-1)*3,1,FALSE),FALSE)</f>
        <v>Indians</v>
      </c>
      <c r="S54" s="317" t="str" cm="1">
        <f t="array" aca="1" ref="S54" ca="1">INDIRECT(ADDRESS(ROW($C$22)+($B$45-1)+5,COLUMN($C$22)+($B54-1)*3+1,1,FALSE),FALSE)</f>
        <v>Aes</v>
      </c>
      <c r="T54" s="317" cm="1">
        <f t="array" aca="1" ref="T54" ca="1">INDIRECT(ADDRESS(ROW($C$22)+($B$45-1)+5,COLUMN($C$22)+($B54-1)*3+2,1,FALSE),FALSE)</f>
        <v>6850</v>
      </c>
    </row>
    <row r="55" spans="1:37" x14ac:dyDescent="0.25">
      <c r="A55" s="1"/>
      <c r="B55" s="345">
        <f t="shared" si="82"/>
        <v>11</v>
      </c>
      <c r="C55" s="100" t="str" cm="1">
        <f t="array" aca="1" ref="C55" ca="1">INDIRECT(ADDRESS(ROW($C$22)+($B$45-1),COLUMN($C$22)+($B55-1)*3,1,FALSE),FALSE)</f>
        <v>Harappans</v>
      </c>
      <c r="D55" s="100" t="str" cm="1">
        <f t="array" aca="1" ref="D55" ca="1">INDIRECT(ADDRESS(ROW($C$22)+($B$45-1),COLUMN($C$22)+($B55-1)*3+1,1,FALSE),FALSE)</f>
        <v>Agr</v>
      </c>
      <c r="E55" s="100" cm="1">
        <f t="array" aca="1" ref="E55" ca="1">INDIRECT(ADDRESS(ROW($C$22)+($B$45-1),COLUMN($C$22)+($B55-1)*3+2,1,FALSE),FALSE)</f>
        <v>1000</v>
      </c>
      <c r="F55" s="101" t="str" cm="1">
        <f t="array" aca="1" ref="F55" ca="1">INDIRECT(ADDRESS(ROW($C$22)+($B$45-1)+1,COLUMN($C$22)+($B55-1)*3,1,FALSE),FALSE)</f>
        <v>Celts</v>
      </c>
      <c r="G55" s="101" t="str" cm="1">
        <f t="array" aca="1" ref="G55" ca="1">INDIRECT(ADDRESS(ROW($C$22)+($B$45-1)+1,COLUMN($C$22)+($B55-1)*3+1,1,FALSE),FALSE)</f>
        <v>Agr</v>
      </c>
      <c r="H55" s="101" cm="1">
        <f t="array" aca="1" ref="H55" ca="1">INDIRECT(ADDRESS(ROW($C$22)+($B$45-1)+1,COLUMN($C$22)+($B55-1)*3+2,1,FALSE),FALSE)</f>
        <v>1450</v>
      </c>
      <c r="I55" s="102" t="str" cm="1">
        <f t="array" aca="1" ref="I55" ca="1">INDIRECT(ADDRESS(ROW($C$22)+($B$45-1)+2,COLUMN($C$22)+($B55-1)*3,1,FALSE),FALSE)</f>
        <v>Khmer</v>
      </c>
      <c r="J55" s="102" t="str" cm="1">
        <f t="array" aca="1" ref="J55" ca="1">INDIRECT(ADDRESS(ROW($C$22)+($B$45-1)+2,COLUMN($C$22)+($B55-1)*3+1,1,FALSE),FALSE)</f>
        <v>Bui</v>
      </c>
      <c r="K55" s="102" cm="1">
        <f t="array" aca="1" ref="K55" ca="1">INDIRECT(ADDRESS(ROW($C$22)+($B$45-1)+2,COLUMN($C$22)+($B55-1)*3+2,1,FALSE),FALSE)</f>
        <v>1120</v>
      </c>
      <c r="L55" s="103" t="str" cm="1">
        <f t="array" aca="1" ref="L55" ca="1">INDIRECT(ADDRESS(ROW($C$22)+($B$45-1)+3,COLUMN($C$22)+($B55-1)*3,1,FALSE),FALSE)</f>
        <v>Ming</v>
      </c>
      <c r="M55" s="103" t="str" cm="1">
        <f t="array" aca="1" ref="M55" ca="1">INDIRECT(ADDRESS(ROW($C$22)+($B$45-1)+3,COLUMN($C$22)+($B55-1)*3+1,1,FALSE),FALSE)</f>
        <v>Aes</v>
      </c>
      <c r="N55" s="103" cm="1">
        <f t="array" aca="1" ref="N55" ca="1">INDIRECT(ADDRESS(ROW($C$22)+($B$45-1)+3,COLUMN($C$22)+($B55-1)*3+2,1,FALSE),FALSE)</f>
        <v>1850</v>
      </c>
      <c r="O55" s="104" t="str" cm="1">
        <f t="array" aca="1" ref="O55" ca="1">INDIRECT(ADDRESS(ROW($C$22)+($B$45-1)+4,COLUMN($C$22)+($B55-1)*3,1,FALSE),FALSE)</f>
        <v>Siamese</v>
      </c>
      <c r="P55" s="104" t="str" cm="1">
        <f t="array" aca="1" ref="P55" ca="1">INDIRECT(ADDRESS(ROW($C$22)+($B$45-1)+4,COLUMN($C$22)+($B55-1)*3+1,1,FALSE),FALSE)</f>
        <v>Bui</v>
      </c>
      <c r="Q55" s="104" cm="1">
        <f t="array" aca="1" ref="Q55" ca="1">INDIRECT(ADDRESS(ROW($C$22)+($B$45-1)+4,COLUMN($C$22)+($B55-1)*3+2,1,FALSE),FALSE)</f>
        <v>1720</v>
      </c>
      <c r="R55" s="317" t="str" cm="1">
        <f t="array" aca="1" ref="R55" ca="1">INDIRECT(ADDRESS(ROW($C$22)+($B$45-1)+5,COLUMN($C$22)+($B55-1)*3,1,FALSE),FALSE)</f>
        <v>Chinese</v>
      </c>
      <c r="S55" s="317" t="str" cm="1">
        <f t="array" aca="1" ref="S55" ca="1">INDIRECT(ADDRESS(ROW($C$22)+($B$45-1)+5,COLUMN($C$22)+($B55-1)*3+1,1,FALSE),FALSE)</f>
        <v>Mer</v>
      </c>
      <c r="T55" s="317" cm="1">
        <f t="array" aca="1" ref="T55" ca="1">INDIRECT(ADDRESS(ROW($C$22)+($B$45-1)+5,COLUMN($C$22)+($B55-1)*3+2,1,FALSE),FALSE)</f>
        <v>7500</v>
      </c>
    </row>
    <row r="56" spans="1:37" x14ac:dyDescent="0.25">
      <c r="A56" s="1"/>
      <c r="B56" s="345">
        <f t="shared" si="82"/>
        <v>12</v>
      </c>
      <c r="C56" s="100" t="str" cm="1">
        <f t="array" aca="1" ref="C56" ca="1">INDIRECT(ADDRESS(ROW($C$22)+($B$45-1),COLUMN($C$22)+($B56-1)*3,1,FALSE),FALSE)</f>
        <v>Olmecs</v>
      </c>
      <c r="D56" s="100" t="str" cm="1">
        <f t="array" aca="1" ref="D56" ca="1">INDIRECT(ADDRESS(ROW($C$22)+($B$45-1),COLUMN($C$22)+($B56-1)*3+1,1,FALSE),FALSE)</f>
        <v>Aes</v>
      </c>
      <c r="E56" s="100" cm="1">
        <f t="array" aca="1" ref="E56" ca="1">INDIRECT(ADDRESS(ROW($C$22)+($B$45-1),COLUMN($C$22)+($B56-1)*3+2,1,FALSE),FALSE)</f>
        <v>1250</v>
      </c>
      <c r="F56" s="101" t="str" cm="1">
        <f t="array" aca="1" ref="F56" ca="1">INDIRECT(ADDRESS(ROW($C$22)+($B$45-1)+1,COLUMN($C$22)+($B56-1)*3,1,FALSE),FALSE)</f>
        <v>Romans</v>
      </c>
      <c r="G56" s="101" t="str" cm="1">
        <f t="array" aca="1" ref="G56" ca="1">INDIRECT(ADDRESS(ROW($C$22)+($B$45-1)+1,COLUMN($C$22)+($B56-1)*3+1,1,FALSE),FALSE)</f>
        <v>Exp</v>
      </c>
      <c r="H56" s="101" cm="1">
        <f t="array" aca="1" ref="H56" ca="1">INDIRECT(ADDRESS(ROW($C$22)+($B$45-1)+1,COLUMN($C$22)+($B56-1)*3+2,1,FALSE),FALSE)</f>
        <v>1400</v>
      </c>
      <c r="I56" s="102" t="str" cm="1">
        <f t="array" aca="1" ref="I56" ca="1">INDIRECT(ADDRESS(ROW($C$22)+($B$45-1)+2,COLUMN($C$22)+($B56-1)*3,1,FALSE),FALSE)</f>
        <v>Khmer</v>
      </c>
      <c r="J56" s="102" t="str" cm="1">
        <f t="array" aca="1" ref="J56" ca="1">INDIRECT(ADDRESS(ROW($C$22)+($B$45-1)+2,COLUMN($C$22)+($B56-1)*3+1,1,FALSE),FALSE)</f>
        <v>Bui</v>
      </c>
      <c r="K56" s="102" cm="1">
        <f t="array" aca="1" ref="K56" ca="1">INDIRECT(ADDRESS(ROW($C$22)+($B$45-1)+2,COLUMN($C$22)+($B56-1)*3+2,1,FALSE),FALSE)</f>
        <v>1420</v>
      </c>
      <c r="L56" s="103" t="str" cm="1">
        <f t="array" aca="1" ref="L56" ca="1">INDIRECT(ADDRESS(ROW($C$22)+($B$45-1)+3,COLUMN($C$22)+($B56-1)*3,1,FALSE),FALSE)</f>
        <v>Edo Japanese</v>
      </c>
      <c r="M56" s="103" t="str" cm="1">
        <f t="array" aca="1" ref="M56" ca="1">INDIRECT(ADDRESS(ROW($C$22)+($B$45-1)+3,COLUMN($C$22)+($B56-1)*3+1,1,FALSE),FALSE)</f>
        <v>Aes</v>
      </c>
      <c r="N56" s="103" cm="1">
        <f t="array" aca="1" ref="N56" ca="1">INDIRECT(ADDRESS(ROW($C$22)+($B$45-1)+3,COLUMN($C$22)+($B56-1)*3+2,1,FALSE),FALSE)</f>
        <v>1250</v>
      </c>
      <c r="O56" s="104" t="str" cm="1">
        <f t="array" aca="1" ref="O56" ca="1">INDIRECT(ADDRESS(ROW($C$22)+($B$45-1)+4,COLUMN($C$22)+($B56-1)*3,1,FALSE),FALSE)</f>
        <v>Italians</v>
      </c>
      <c r="P56" s="104" t="str" cm="1">
        <f t="array" aca="1" ref="P56" ca="1">INDIRECT(ADDRESS(ROW($C$22)+($B$45-1)+4,COLUMN($C$22)+($B56-1)*3+1,1,FALSE),FALSE)</f>
        <v>Exp</v>
      </c>
      <c r="Q56" s="104" cm="1">
        <f t="array" aca="1" ref="Q56" ca="1">INDIRECT(ADDRESS(ROW($C$22)+($B$45-1)+4,COLUMN($C$22)+($B56-1)*3+2,1,FALSE),FALSE)</f>
        <v>1950</v>
      </c>
      <c r="R56" s="317" t="str" cm="1">
        <f t="array" aca="1" ref="R56" ca="1">INDIRECT(ADDRESS(ROW($C$22)+($B$45-1)+5,COLUMN($C$22)+($B56-1)*3,1,FALSE),FALSE)</f>
        <v>Japanese</v>
      </c>
      <c r="S56" s="317" t="str" cm="1">
        <f t="array" aca="1" ref="S56" ca="1">INDIRECT(ADDRESS(ROW($C$22)+($B$45-1)+5,COLUMN($C$22)+($B56-1)*3+1,1,FALSE),FALSE)</f>
        <v>Sci</v>
      </c>
      <c r="T56" s="317" cm="1">
        <f t="array" aca="1" ref="T56" ca="1">INDIRECT(ADDRESS(ROW($C$22)+($B$45-1)+5,COLUMN($C$22)+($B56-1)*3+2,1,FALSE),FALSE)</f>
        <v>5250</v>
      </c>
    </row>
    <row r="57" spans="1:37" x14ac:dyDescent="0.25">
      <c r="A57" s="1"/>
      <c r="B57" s="345">
        <f t="shared" si="82"/>
        <v>13</v>
      </c>
      <c r="C57" s="100" t="str" cm="1">
        <f t="array" aca="1" ref="C57" ca="1">INDIRECT(ADDRESS(ROW($C$22)+($B$45-1),COLUMN($C$22)+($B57-1)*3,1,FALSE),FALSE)</f>
        <v>Assyrians</v>
      </c>
      <c r="D57" s="100" t="str" cm="1">
        <f t="array" aca="1" ref="D57" ca="1">INDIRECT(ADDRESS(ROW($C$22)+($B$45-1),COLUMN($C$22)+($B57-1)*3+1,1,FALSE),FALSE)</f>
        <v>Exp</v>
      </c>
      <c r="E57" s="100" cm="1">
        <f t="array" aca="1" ref="E57" ca="1">INDIRECT(ADDRESS(ROW($C$22)+($B$45-1),COLUMN($C$22)+($B57-1)*3+2,1,FALSE),FALSE)</f>
        <v>1200</v>
      </c>
      <c r="F57" s="101" t="str" cm="1">
        <f t="array" aca="1" ref="F57" ca="1">INDIRECT(ADDRESS(ROW($C$22)+($B$45-1)+1,COLUMN($C$22)+($B57-1)*3,1,FALSE),FALSE)</f>
        <v>Achaemenid Persians</v>
      </c>
      <c r="G57" s="101" t="str" cm="1">
        <f t="array" aca="1" ref="G57" ca="1">INDIRECT(ADDRESS(ROW($C$22)+($B$45-1)+1,COLUMN($C$22)+($B57-1)*3+1,1,FALSE),FALSE)</f>
        <v>Exp</v>
      </c>
      <c r="H57" s="101" cm="1">
        <f t="array" aca="1" ref="H57" ca="1">INDIRECT(ADDRESS(ROW($C$22)+($B$45-1)+1,COLUMN($C$22)+($B57-1)*3+2,1,FALSE),FALSE)</f>
        <v>1550</v>
      </c>
      <c r="I57" s="102" t="str" cm="1">
        <f t="array" aca="1" ref="I57" ca="1">INDIRECT(ADDRESS(ROW($C$22)+($B$45-1)+2,COLUMN($C$22)+($B57-1)*3,1,FALSE),FALSE)</f>
        <v>English</v>
      </c>
      <c r="J57" s="102" t="str" cm="1">
        <f t="array" aca="1" ref="J57" ca="1">INDIRECT(ADDRESS(ROW($C$22)+($B$45-1)+2,COLUMN($C$22)+($B57-1)*3+1,1,FALSE),FALSE)</f>
        <v>Agr</v>
      </c>
      <c r="K57" s="102" cm="1">
        <f t="array" aca="1" ref="K57" ca="1">INDIRECT(ADDRESS(ROW($C$22)+($B$45-1)+2,COLUMN($C$22)+($B57-1)*3+2,1,FALSE),FALSE)</f>
        <v>1600</v>
      </c>
      <c r="L57" s="103" t="str" cm="1">
        <f t="array" aca="1" ref="L57" ca="1">INDIRECT(ADDRESS(ROW($C$22)+($B$45-1)+3,COLUMN($C$22)+($B57-1)*3,1,FALSE),FALSE)</f>
        <v>Mughals</v>
      </c>
      <c r="M57" s="103" t="str" cm="1">
        <f t="array" aca="1" ref="M57" ca="1">INDIRECT(ADDRESS(ROW($C$22)+($B$45-1)+3,COLUMN($C$22)+($B57-1)*3+1,1,FALSE),FALSE)</f>
        <v>Bui</v>
      </c>
      <c r="N57" s="103" cm="1">
        <f t="array" aca="1" ref="N57" ca="1">INDIRECT(ADDRESS(ROW($C$22)+($B$45-1)+3,COLUMN($C$22)+($B57-1)*3+2,1,FALSE),FALSE)</f>
        <v>1510</v>
      </c>
      <c r="O57" s="104" t="str" cm="1">
        <f t="array" aca="1" ref="O57" ca="1">INDIRECT(ADDRESS(ROW($C$22)+($B$45-1)+4,COLUMN($C$22)+($B57-1)*3,1,FALSE),FALSE)</f>
        <v>Italians</v>
      </c>
      <c r="P57" s="104" t="str" cm="1">
        <f t="array" aca="1" ref="P57" ca="1">INDIRECT(ADDRESS(ROW($C$22)+($B$45-1)+4,COLUMN($C$22)+($B57-1)*3+1,1,FALSE),FALSE)</f>
        <v>Exp</v>
      </c>
      <c r="Q57" s="104" cm="1">
        <f t="array" aca="1" ref="Q57" ca="1">INDIRECT(ADDRESS(ROW($C$22)+($B$45-1)+4,COLUMN($C$22)+($B57-1)*3+2,1,FALSE),FALSE)</f>
        <v>1100</v>
      </c>
      <c r="R57" s="317" t="str" cm="1">
        <f t="array" aca="1" ref="R57" ca="1">INDIRECT(ADDRESS(ROW($C$22)+($B$45-1)+5,COLUMN($C$22)+($B57-1)*3,1,FALSE),FALSE)</f>
        <v>Brazilians</v>
      </c>
      <c r="S57" s="317" t="str" cm="1">
        <f t="array" aca="1" ref="S57" ca="1">INDIRECT(ADDRESS(ROW($C$22)+($B$45-1)+5,COLUMN($C$22)+($B57-1)*3+1,1,FALSE),FALSE)</f>
        <v>Agr</v>
      </c>
      <c r="T57" s="317" cm="1">
        <f t="array" aca="1" ref="T57" ca="1">INDIRECT(ADDRESS(ROW($C$22)+($B$45-1)+5,COLUMN($C$22)+($B57-1)*3+2,1,FALSE),FALSE)</f>
        <v>4750</v>
      </c>
    </row>
    <row r="58" spans="1:37" x14ac:dyDescent="0.25">
      <c r="A58" s="1"/>
      <c r="B58" s="345">
        <f t="shared" si="82"/>
        <v>14</v>
      </c>
      <c r="C58" s="100" t="str" cm="1">
        <f t="array" aca="1" ref="C58" ca="1">INDIRECT(ADDRESS(ROW($C$22)+($B$45-1),COLUMN($C$22)+($B58-1)*3,1,FALSE),FALSE)</f>
        <v>Hittites</v>
      </c>
      <c r="D58" s="100" t="str" cm="1">
        <f t="array" aca="1" ref="D58" ca="1">INDIRECT(ADDRESS(ROW($C$22)+($B$45-1),COLUMN($C$22)+($B58-1)*3+1,1,FALSE),FALSE)</f>
        <v>Mil</v>
      </c>
      <c r="E58" s="100" cm="1">
        <f t="array" aca="1" ref="E58" ca="1">INDIRECT(ADDRESS(ROW($C$22)+($B$45-1),COLUMN($C$22)+($B58-1)*3+2,1,FALSE),FALSE)</f>
        <v>1500</v>
      </c>
      <c r="F58" s="101" t="str" cm="1">
        <f t="array" aca="1" ref="F58" ca="1">INDIRECT(ADDRESS(ROW($C$22)+($B$45-1)+1,COLUMN($C$22)+($B58-1)*3,1,FALSE),FALSE)</f>
        <v>Carthaginians</v>
      </c>
      <c r="G58" s="101" t="str" cm="1">
        <f t="array" aca="1" ref="G58" ca="1">INDIRECT(ADDRESS(ROW($C$22)+($B$45-1)+1,COLUMN($C$22)+($B58-1)*3+1,1,FALSE),FALSE)</f>
        <v>Mer</v>
      </c>
      <c r="H58" s="101" cm="1">
        <f t="array" aca="1" ref="H58" ca="1">INDIRECT(ADDRESS(ROW($C$22)+($B$45-1)+1,COLUMN($C$22)+($B58-1)*3+2,1,FALSE),FALSE)</f>
        <v>1400</v>
      </c>
      <c r="I58" s="102" t="str" cm="1">
        <f t="array" aca="1" ref="I58" ca="1">INDIRECT(ADDRESS(ROW($C$22)+($B$45-1)+2,COLUMN($C$22)+($B58-1)*3,1,FALSE),FALSE)</f>
        <v>Umayyads</v>
      </c>
      <c r="J58" s="102" t="str" cm="1">
        <f t="array" aca="1" ref="J58" ca="1">INDIRECT(ADDRESS(ROW($C$22)+($B$45-1)+2,COLUMN($C$22)+($B58-1)*3+1,1,FALSE),FALSE)</f>
        <v>Sci</v>
      </c>
      <c r="K58" s="102" cm="1">
        <f t="array" aca="1" ref="K58" ca="1">INDIRECT(ADDRESS(ROW($C$22)+($B$45-1)+2,COLUMN($C$22)+($B58-1)*3+2,1,FALSE),FALSE)</f>
        <v>1350</v>
      </c>
      <c r="L58" s="103" t="str" cm="1">
        <f t="array" aca="1" ref="L58" ca="1">INDIRECT(ADDRESS(ROW($C$22)+($B$45-1)+3,COLUMN($C$22)+($B58-1)*3,1,FALSE),FALSE)</f>
        <v>Poles</v>
      </c>
      <c r="M58" s="103" t="str" cm="1">
        <f t="array" aca="1" ref="M58" ca="1">INDIRECT(ADDRESS(ROW($C$22)+($B$45-1)+3,COLUMN($C$22)+($B58-1)*3+1,1,FALSE),FALSE)</f>
        <v>Mil</v>
      </c>
      <c r="N58" s="103" cm="1">
        <f t="array" aca="1" ref="N58" ca="1">INDIRECT(ADDRESS(ROW($C$22)+($B$45-1)+3,COLUMN($C$22)+($B58-1)*3+2,1,FALSE),FALSE)</f>
        <v>1450</v>
      </c>
      <c r="O58" s="104" t="str" cm="1">
        <f t="array" aca="1" ref="O58" ca="1">INDIRECT(ADDRESS(ROW($C$22)+($B$45-1)+4,COLUMN($C$22)+($B58-1)*3,1,FALSE),FALSE)</f>
        <v>Zulu</v>
      </c>
      <c r="P58" s="104" t="str" cm="1">
        <f t="array" aca="1" ref="P58" ca="1">INDIRECT(ADDRESS(ROW($C$22)+($B$45-1)+4,COLUMN($C$22)+($B58-1)*3+1,1,FALSE),FALSE)</f>
        <v>Mil</v>
      </c>
      <c r="Q58" s="104" cm="1">
        <f t="array" aca="1" ref="Q58" ca="1">INDIRECT(ADDRESS(ROW($C$22)+($B$45-1)+4,COLUMN($C$22)+($B58-1)*3+2,1,FALSE),FALSE)</f>
        <v>2050</v>
      </c>
      <c r="R58" s="317" t="str" cm="1">
        <f t="array" aca="1" ref="R58" ca="1">INDIRECT(ADDRESS(ROW($C$22)+($B$45-1)+5,COLUMN($C$22)+($B58-1)*3,1,FALSE),FALSE)</f>
        <v>Turks</v>
      </c>
      <c r="S58" s="317" t="str" cm="1">
        <f t="array" aca="1" ref="S58" ca="1">INDIRECT(ADDRESS(ROW($C$22)+($B$45-1)+5,COLUMN($C$22)+($B58-1)*3+1,1,FALSE),FALSE)</f>
        <v>Agr</v>
      </c>
      <c r="T58" s="317" cm="1">
        <f t="array" aca="1" ref="T58" ca="1">INDIRECT(ADDRESS(ROW($C$22)+($B$45-1)+5,COLUMN($C$22)+($B58-1)*3+2,1,FALSE),FALSE)</f>
        <v>3000</v>
      </c>
    </row>
    <row r="59" spans="1:37" x14ac:dyDescent="0.25">
      <c r="B59" s="345">
        <f t="shared" si="82"/>
        <v>15</v>
      </c>
      <c r="C59" s="100" t="str" cm="1">
        <f t="array" aca="1" ref="C59" ca="1">INDIRECT(ADDRESS(ROW($C$22)+($B$45-1),COLUMN($C$22)+($B59-1)*3,1,FALSE),FALSE)</f>
        <v>Phoenicians</v>
      </c>
      <c r="D59" s="100" t="str" cm="1">
        <f t="array" aca="1" ref="D59" ca="1">INDIRECT(ADDRESS(ROW($C$22)+($B$45-1),COLUMN($C$22)+($B59-1)*3+1,1,FALSE),FALSE)</f>
        <v>Mer</v>
      </c>
      <c r="E59" s="100" cm="1">
        <f t="array" aca="1" ref="E59" ca="1">INDIRECT(ADDRESS(ROW($C$22)+($B$45-1),COLUMN($C$22)+($B59-1)*3+2,1,FALSE),FALSE)</f>
        <v>1000</v>
      </c>
      <c r="F59" s="101" t="str" cm="1">
        <f t="array" aca="1" ref="F59" ca="1">INDIRECT(ADDRESS(ROW($C$22)+($B$45-1)+1,COLUMN($C$22)+($B59-1)*3,1,FALSE),FALSE)</f>
        <v>Achaemenid Persians</v>
      </c>
      <c r="G59" s="101" t="str" cm="1">
        <f t="array" aca="1" ref="G59" ca="1">INDIRECT(ADDRESS(ROW($C$22)+($B$45-1)+1,COLUMN($C$22)+($B59-1)*3+1,1,FALSE),FALSE)</f>
        <v>Exp</v>
      </c>
      <c r="H59" s="101" cm="1">
        <f t="array" aca="1" ref="H59" ca="1">INDIRECT(ADDRESS(ROW($C$22)+($B$45-1)+1,COLUMN($C$22)+($B59-1)*3+2,1,FALSE),FALSE)</f>
        <v>1950</v>
      </c>
      <c r="I59" s="102" t="str" cm="1">
        <f t="array" aca="1" ref="I59" ca="1">INDIRECT(ADDRESS(ROW($C$22)+($B$45-1)+2,COLUMN($C$22)+($B59-1)*3,1,FALSE),FALSE)</f>
        <v>Norsemen</v>
      </c>
      <c r="J59" s="102" t="str" cm="1">
        <f t="array" aca="1" ref="J59" ca="1">INDIRECT(ADDRESS(ROW($C$22)+($B$45-1)+2,COLUMN($C$22)+($B59-1)*3+1,1,FALSE),FALSE)</f>
        <v>Exp</v>
      </c>
      <c r="K59" s="102" cm="1">
        <f t="array" aca="1" ref="K59" ca="1">INDIRECT(ADDRESS(ROW($C$22)+($B$45-1)+2,COLUMN($C$22)+($B59-1)*3+2,1,FALSE),FALSE)</f>
        <v>1250</v>
      </c>
      <c r="L59" s="103" t="str" cm="1">
        <f t="array" aca="1" ref="L59" ca="1">INDIRECT(ADDRESS(ROW($C$22)+($B$45-1)+3,COLUMN($C$22)+($B59-1)*3,1,FALSE),FALSE)</f>
        <v>Ming</v>
      </c>
      <c r="M59" s="103" t="str" cm="1">
        <f t="array" aca="1" ref="M59" ca="1">INDIRECT(ADDRESS(ROW($C$22)+($B$45-1)+3,COLUMN($C$22)+($B59-1)*3+1,1,FALSE),FALSE)</f>
        <v>Aes</v>
      </c>
      <c r="N59" s="103" cm="1">
        <f t="array" aca="1" ref="N59" ca="1">INDIRECT(ADDRESS(ROW($C$22)+($B$45-1)+3,COLUMN($C$22)+($B59-1)*3+2,1,FALSE),FALSE)</f>
        <v>2350</v>
      </c>
      <c r="O59" s="104" t="str" cm="1">
        <f t="array" aca="1" ref="O59" ca="1">INDIRECT(ADDRESS(ROW($C$22)+($B$45-1)+4,COLUMN($C$22)+($B59-1)*3,1,FALSE),FALSE)</f>
        <v>French</v>
      </c>
      <c r="P59" s="104" t="str" cm="1">
        <f t="array" aca="1" ref="P59" ca="1">INDIRECT(ADDRESS(ROW($C$22)+($B$45-1)+4,COLUMN($C$22)+($B59-1)*3+1,1,FALSE),FALSE)</f>
        <v>Sci</v>
      </c>
      <c r="Q59" s="104" cm="1">
        <f t="array" aca="1" ref="Q59" ca="1">INDIRECT(ADDRESS(ROW($C$22)+($B$45-1)+4,COLUMN($C$22)+($B59-1)*3+2,1,FALSE),FALSE)</f>
        <v>3900</v>
      </c>
      <c r="R59" s="317" t="str" cm="1">
        <f t="array" aca="1" ref="R59" ca="1">INDIRECT(ADDRESS(ROW($C$22)+($B$45-1)+5,COLUMN($C$22)+($B59-1)*3,1,FALSE),FALSE)</f>
        <v>Soviets</v>
      </c>
      <c r="S59" s="317" t="str" cm="1">
        <f t="array" aca="1" ref="S59" ca="1">INDIRECT(ADDRESS(ROW($C$22)+($B$45-1)+5,COLUMN($C$22)+($B59-1)*3+1,1,FALSE),FALSE)</f>
        <v>Exp</v>
      </c>
      <c r="T59" s="317" cm="1">
        <f t="array" aca="1" ref="T59" ca="1">INDIRECT(ADDRESS(ROW($C$22)+($B$45-1)+5,COLUMN($C$22)+($B59-1)*3+2,1,FALSE),FALSE)</f>
        <v>2100</v>
      </c>
    </row>
    <row r="60" spans="1:37" x14ac:dyDescent="0.25">
      <c r="B60" s="345">
        <f t="shared" si="82"/>
        <v>16</v>
      </c>
      <c r="C60" s="100" t="str" cm="1">
        <f t="array" aca="1" ref="C60" ca="1">INDIRECT(ADDRESS(ROW($C$22)+($B$45-1),COLUMN($C$22)+($B60-1)*3,1,FALSE),FALSE)</f>
        <v>Nubians</v>
      </c>
      <c r="D60" s="100" t="str" cm="1">
        <f t="array" aca="1" ref="D60" ca="1">INDIRECT(ADDRESS(ROW($C$22)+($B$45-1),COLUMN($C$22)+($B60-1)*3+1,1,FALSE),FALSE)</f>
        <v>Mer</v>
      </c>
      <c r="E60" s="100" cm="1">
        <f t="array" aca="1" ref="E60" ca="1">INDIRECT(ADDRESS(ROW($C$22)+($B$45-1),COLUMN($C$22)+($B60-1)*3+2,1,FALSE),FALSE)</f>
        <v>1400</v>
      </c>
      <c r="F60" s="101" t="str" cm="1">
        <f t="array" aca="1" ref="F60" ca="1">INDIRECT(ADDRESS(ROW($C$22)+($B$45-1)+1,COLUMN($C$22)+($B60-1)*3,1,FALSE),FALSE)</f>
        <v>Mauryans</v>
      </c>
      <c r="G60" s="101" t="str" cm="1">
        <f t="array" aca="1" ref="G60" ca="1">INDIRECT(ADDRESS(ROW($C$22)+($B$45-1)+1,COLUMN($C$22)+($B60-1)*3+1,1,FALSE),FALSE)</f>
        <v>Aes</v>
      </c>
      <c r="H60" s="101" cm="1">
        <f t="array" aca="1" ref="H60" ca="1">INDIRECT(ADDRESS(ROW($C$22)+($B$45-1)+1,COLUMN($C$22)+($B60-1)*3+2,1,FALSE),FALSE)</f>
        <v>1300</v>
      </c>
      <c r="I60" s="102" t="str" cm="1">
        <f t="array" aca="1" ref="I60" ca="1">INDIRECT(ADDRESS(ROW($C$22)+($B$45-1)+2,COLUMN($C$22)+($B60-1)*3,1,FALSE),FALSE)</f>
        <v>English</v>
      </c>
      <c r="J60" s="102" t="str" cm="1">
        <f t="array" aca="1" ref="J60" ca="1">INDIRECT(ADDRESS(ROW($C$22)+($B$45-1)+2,COLUMN($C$22)+($B60-1)*3+1,1,FALSE),FALSE)</f>
        <v>Agr</v>
      </c>
      <c r="K60" s="102" cm="1">
        <f t="array" aca="1" ref="K60" ca="1">INDIRECT(ADDRESS(ROW($C$22)+($B$45-1)+2,COLUMN($C$22)+($B60-1)*3+2,1,FALSE),FALSE)</f>
        <v>1850</v>
      </c>
      <c r="L60" s="103" t="str" cm="1">
        <f t="array" aca="1" ref="L60" ca="1">INDIRECT(ADDRESS(ROW($C$22)+($B$45-1)+3,COLUMN($C$22)+($B60-1)*3,1,FALSE),FALSE)</f>
        <v>Dutch</v>
      </c>
      <c r="M60" s="103" t="str" cm="1">
        <f t="array" aca="1" ref="M60" ca="1">INDIRECT(ADDRESS(ROW($C$22)+($B$45-1)+3,COLUMN($C$22)+($B60-1)*3+1,1,FALSE),FALSE)</f>
        <v>Mer</v>
      </c>
      <c r="N60" s="103" cm="1">
        <f t="array" aca="1" ref="N60" ca="1">INDIRECT(ADDRESS(ROW($C$22)+($B$45-1)+3,COLUMN($C$22)+($B60-1)*3+2,1,FALSE),FALSE)</f>
        <v>1400</v>
      </c>
      <c r="O60" s="104" t="str" cm="1">
        <f t="array" aca="1" ref="O60" ca="1">INDIRECT(ADDRESS(ROW($C$22)+($B$45-1)+4,COLUMN($C$22)+($B60-1)*3,1,FALSE),FALSE)</f>
        <v>British</v>
      </c>
      <c r="P60" s="104" t="str" cm="1">
        <f t="array" aca="1" ref="P60" ca="1">INDIRECT(ADDRESS(ROW($C$22)+($B$45-1)+4,COLUMN($C$22)+($B60-1)*3+1,1,FALSE),FALSE)</f>
        <v>Exp</v>
      </c>
      <c r="Q60" s="104" cm="1">
        <f t="array" aca="1" ref="Q60" ca="1">INDIRECT(ADDRESS(ROW($C$22)+($B$45-1)+4,COLUMN($C$22)+($B60-1)*3+2,1,FALSE),FALSE)</f>
        <v>1850</v>
      </c>
      <c r="R60" s="317" t="str" cm="1">
        <f t="array" aca="1" ref="R60" ca="1">INDIRECT(ADDRESS(ROW($C$22)+($B$45-1)+5,COLUMN($C$22)+($B60-1)*3,1,FALSE),FALSE)</f>
        <v>Indians</v>
      </c>
      <c r="S60" s="317" t="str" cm="1">
        <f t="array" aca="1" ref="S60" ca="1">INDIRECT(ADDRESS(ROW($C$22)+($B$45-1)+5,COLUMN($C$22)+($B60-1)*3+1,1,FALSE),FALSE)</f>
        <v>Aes</v>
      </c>
      <c r="T60" s="317" cm="1">
        <f t="array" aca="1" ref="T60" ca="1">INDIRECT(ADDRESS(ROW($C$22)+($B$45-1)+5,COLUMN($C$22)+($B60-1)*3+2,1,FALSE),FALSE)</f>
        <v>3700</v>
      </c>
    </row>
    <row r="61" spans="1:37" x14ac:dyDescent="0.25">
      <c r="B61" s="345">
        <f t="shared" si="82"/>
        <v>17</v>
      </c>
      <c r="C61" s="100" t="str" cm="1">
        <f t="array" aca="1" ref="C61" ca="1">INDIRECT(ADDRESS(ROW($C$22)+($B$45-1),COLUMN($C$22)+($B61-1)*3,1,FALSE),FALSE)</f>
        <v>Zhou</v>
      </c>
      <c r="D61" s="100" t="str" cm="1">
        <f t="array" aca="1" ref="D61" ca="1">INDIRECT(ADDRESS(ROW($C$22)+($B$45-1),COLUMN($C$22)+($B61-1)*3+1,1,FALSE),FALSE)</f>
        <v>Aes</v>
      </c>
      <c r="E61" s="100" cm="1">
        <f t="array" aca="1" ref="E61" ca="1">INDIRECT(ADDRESS(ROW($C$22)+($B$45-1),COLUMN($C$22)+($B61-1)*3+2,1,FALSE),FALSE)</f>
        <v>1750</v>
      </c>
      <c r="F61" s="101" t="str" cm="1">
        <f t="array" aca="1" ref="F61" ca="1">INDIRECT(ADDRESS(ROW($C$22)+($B$45-1)+1,COLUMN($C$22)+($B61-1)*3,1,FALSE),FALSE)</f>
        <v>Mauryans</v>
      </c>
      <c r="G61" s="101" t="str" cm="1">
        <f t="array" aca="1" ref="G61" ca="1">INDIRECT(ADDRESS(ROW($C$22)+($B$45-1)+1,COLUMN($C$22)+($B61-1)*3+1,1,FALSE),FALSE)</f>
        <v>Aes</v>
      </c>
      <c r="H61" s="101" cm="1">
        <f t="array" aca="1" ref="H61" ca="1">INDIRECT(ADDRESS(ROW($C$22)+($B$45-1)+1,COLUMN($C$22)+($B61-1)*3+2,1,FALSE),FALSE)</f>
        <v>2050</v>
      </c>
      <c r="I61" s="102" t="str" cm="1">
        <f t="array" aca="1" ref="I61" ca="1">INDIRECT(ADDRESS(ROW($C$22)+($B$45-1)+2,COLUMN($C$22)+($B61-1)*3,1,FALSE),FALSE)</f>
        <v>Franks</v>
      </c>
      <c r="J61" s="102" t="str" cm="1">
        <f t="array" aca="1" ref="J61" ca="1">INDIRECT(ADDRESS(ROW($C$22)+($B$45-1)+2,COLUMN($C$22)+($B61-1)*3+1,1,FALSE),FALSE)</f>
        <v>Aes</v>
      </c>
      <c r="K61" s="102" cm="1">
        <f t="array" aca="1" ref="K61" ca="1">INDIRECT(ADDRESS(ROW($C$22)+($B$45-1)+2,COLUMN($C$22)+($B61-1)*3+2,1,FALSE),FALSE)</f>
        <v>1500</v>
      </c>
      <c r="L61" s="103" t="str" cm="1">
        <f t="array" aca="1" ref="L61" ca="1">INDIRECT(ADDRESS(ROW($C$22)+($B$45-1)+3,COLUMN($C$22)+($B61-1)*3,1,FALSE),FALSE)</f>
        <v>Poles</v>
      </c>
      <c r="M61" s="103" t="str" cm="1">
        <f t="array" aca="1" ref="M61" ca="1">INDIRECT(ADDRESS(ROW($C$22)+($B$45-1)+3,COLUMN($C$22)+($B61-1)*3+1,1,FALSE),FALSE)</f>
        <v>Mil</v>
      </c>
      <c r="N61" s="103" cm="1">
        <f t="array" aca="1" ref="N61" ca="1">INDIRECT(ADDRESS(ROW($C$22)+($B$45-1)+3,COLUMN($C$22)+($B61-1)*3+2,1,FALSE),FALSE)</f>
        <v>1400</v>
      </c>
      <c r="O61" s="104" t="str" cm="1">
        <f t="array" aca="1" ref="O61" ca="1">INDIRECT(ADDRESS(ROW($C$22)+($B$45-1)+4,COLUMN($C$22)+($B61-1)*3,1,FALSE),FALSE)</f>
        <v>Austro-Hungarians</v>
      </c>
      <c r="P61" s="104" t="str" cm="1">
        <f t="array" aca="1" ref="P61" ca="1">INDIRECT(ADDRESS(ROW($C$22)+($B$45-1)+4,COLUMN($C$22)+($B61-1)*3+1,1,FALSE),FALSE)</f>
        <v>Aes</v>
      </c>
      <c r="Q61" s="104" cm="1">
        <f t="array" aca="1" ref="Q61" ca="1">INDIRECT(ADDRESS(ROW($C$22)+($B$45-1)+4,COLUMN($C$22)+($B61-1)*3+2,1,FALSE),FALSE)</f>
        <v>1350</v>
      </c>
      <c r="R61" s="317" t="str" cm="1">
        <f t="array" aca="1" ref="R61" ca="1">INDIRECT(ADDRESS(ROW($C$22)+($B$45-1)+5,COLUMN($C$22)+($B61-1)*3,1,FALSE),FALSE)</f>
        <v>Indians</v>
      </c>
      <c r="S61" s="317" t="str" cm="1">
        <f t="array" aca="1" ref="S61" ca="1">INDIRECT(ADDRESS(ROW($C$22)+($B$45-1)+5,COLUMN($C$22)+($B61-1)*3+1,1,FALSE),FALSE)</f>
        <v>Aes</v>
      </c>
      <c r="T61" s="317" cm="1">
        <f t="array" aca="1" ref="T61" ca="1">INDIRECT(ADDRESS(ROW($C$22)+($B$45-1)+5,COLUMN($C$22)+($B61-1)*3+2,1,FALSE),FALSE)</f>
        <v>5500</v>
      </c>
    </row>
    <row r="62" spans="1:37" x14ac:dyDescent="0.25">
      <c r="B62" s="345">
        <f t="shared" si="82"/>
        <v>18</v>
      </c>
      <c r="C62" s="100" t="str" cm="1">
        <f t="array" aca="1" ref="C62" ca="1">INDIRECT(ADDRESS(ROW($C$22)+($B$45-1),COLUMN($C$22)+($B62-1)*3,1,FALSE),FALSE)</f>
        <v>Harappans</v>
      </c>
      <c r="D62" s="100" t="str" cm="1">
        <f t="array" aca="1" ref="D62" ca="1">INDIRECT(ADDRESS(ROW($C$22)+($B$45-1),COLUMN($C$22)+($B62-1)*3+1,1,FALSE),FALSE)</f>
        <v>Agr</v>
      </c>
      <c r="E62" s="100" cm="1">
        <f t="array" aca="1" ref="E62" ca="1">INDIRECT(ADDRESS(ROW($C$22)+($B$45-1),COLUMN($C$22)+($B62-1)*3+2,1,FALSE),FALSE)</f>
        <v>1050</v>
      </c>
      <c r="F62" s="101" t="str" cm="1">
        <f t="array" aca="1" ref="F62" ca="1">INDIRECT(ADDRESS(ROW($C$22)+($B$45-1)+1,COLUMN($C$22)+($B62-1)*3,1,FALSE),FALSE)</f>
        <v>Aksumites</v>
      </c>
      <c r="G62" s="101" t="str" cm="1">
        <f t="array" aca="1" ref="G62" ca="1">INDIRECT(ADDRESS(ROW($C$22)+($B$45-1)+1,COLUMN($C$22)+($B62-1)*3+1,1,FALSE),FALSE)</f>
        <v>Mer</v>
      </c>
      <c r="H62" s="101" cm="1">
        <f t="array" aca="1" ref="H62" ca="1">INDIRECT(ADDRESS(ROW($C$22)+($B$45-1)+1,COLUMN($C$22)+($B62-1)*3+2,1,FALSE),FALSE)</f>
        <v>1300</v>
      </c>
      <c r="I62" s="102" t="str" cm="1">
        <f t="array" aca="1" ref="I62" ca="1">INDIRECT(ADDRESS(ROW($C$22)+($B$45-1)+2,COLUMN($C$22)+($B62-1)*3,1,FALSE),FALSE)</f>
        <v>Khmer</v>
      </c>
      <c r="J62" s="102" t="str" cm="1">
        <f t="array" aca="1" ref="J62" ca="1">INDIRECT(ADDRESS(ROW($C$22)+($B$45-1)+2,COLUMN($C$22)+($B62-1)*3+1,1,FALSE),FALSE)</f>
        <v>Bui</v>
      </c>
      <c r="K62" s="102" cm="1">
        <f t="array" aca="1" ref="K62" ca="1">INDIRECT(ADDRESS(ROW($C$22)+($B$45-1)+2,COLUMN($C$22)+($B62-1)*3+2,1,FALSE),FALSE)</f>
        <v>1220</v>
      </c>
      <c r="L62" s="103" t="str" cm="1">
        <f t="array" aca="1" ref="L62" ca="1">INDIRECT(ADDRESS(ROW($C$22)+($B$45-1)+3,COLUMN($C$22)+($B62-1)*3,1,FALSE),FALSE)</f>
        <v>Edo Japanese</v>
      </c>
      <c r="M62" s="103" t="str" cm="1">
        <f t="array" aca="1" ref="M62" ca="1">INDIRECT(ADDRESS(ROW($C$22)+($B$45-1)+3,COLUMN($C$22)+($B62-1)*3+1,1,FALSE),FALSE)</f>
        <v>Aes</v>
      </c>
      <c r="N62" s="103" cm="1">
        <f t="array" aca="1" ref="N62" ca="1">INDIRECT(ADDRESS(ROW($C$22)+($B$45-1)+3,COLUMN($C$22)+($B62-1)*3+2,1,FALSE),FALSE)</f>
        <v>1400</v>
      </c>
      <c r="O62" s="104" t="str" cm="1">
        <f t="array" aca="1" ref="O62" ca="1">INDIRECT(ADDRESS(ROW($C$22)+($B$45-1)+4,COLUMN($C$22)+($B62-1)*3,1,FALSE),FALSE)</f>
        <v>Mexicans</v>
      </c>
      <c r="P62" s="104" t="str" cm="1">
        <f t="array" aca="1" ref="P62" ca="1">INDIRECT(ADDRESS(ROW($C$22)+($B$45-1)+4,COLUMN($C$22)+($B62-1)*3+1,1,FALSE),FALSE)</f>
        <v>Agr</v>
      </c>
      <c r="Q62" s="104" cm="1">
        <f t="array" aca="1" ref="Q62" ca="1">INDIRECT(ADDRESS(ROW($C$22)+($B$45-1)+4,COLUMN($C$22)+($B62-1)*3+2,1,FALSE),FALSE)</f>
        <v>2200</v>
      </c>
      <c r="R62" s="317" t="str" cm="1">
        <f t="array" aca="1" ref="R62" ca="1">INDIRECT(ADDRESS(ROW($C$22)+($B$45-1)+5,COLUMN($C$22)+($B62-1)*3,1,FALSE),FALSE)</f>
        <v>Egyptians</v>
      </c>
      <c r="S62" s="317" t="str" cm="1">
        <f t="array" aca="1" ref="S62" ca="1">INDIRECT(ADDRESS(ROW($C$22)+($B$45-1)+5,COLUMN($C$22)+($B62-1)*3+1,1,FALSE),FALSE)</f>
        <v>Aes</v>
      </c>
      <c r="T62" s="317" cm="1">
        <f t="array" aca="1" ref="T62" ca="1">INDIRECT(ADDRESS(ROW($C$22)+($B$45-1)+5,COLUMN($C$22)+($B62-1)*3+2,1,FALSE),FALSE)</f>
        <v>3300</v>
      </c>
    </row>
    <row r="63" spans="1:37" x14ac:dyDescent="0.25">
      <c r="B63" s="345">
        <f t="shared" si="82"/>
        <v>19</v>
      </c>
      <c r="C63" s="100" t="str" cm="1">
        <f t="array" aca="1" ref="C63" ca="1">INDIRECT(ADDRESS(ROW($C$22)+($B$45-1),COLUMN($C$22)+($B63-1)*3,1,FALSE),FALSE)</f>
        <v>Assyrians</v>
      </c>
      <c r="D63" s="100" t="str" cm="1">
        <f t="array" aca="1" ref="D63" ca="1">INDIRECT(ADDRESS(ROW($C$22)+($B$45-1),COLUMN($C$22)+($B63-1)*3+1,1,FALSE),FALSE)</f>
        <v>Exp</v>
      </c>
      <c r="E63" s="100" cm="1">
        <f t="array" aca="1" ref="E63" ca="1">INDIRECT(ADDRESS(ROW($C$22)+($B$45-1),COLUMN($C$22)+($B63-1)*3+2,1,FALSE),FALSE)</f>
        <v>1450</v>
      </c>
      <c r="F63" s="101" t="str" cm="1">
        <f t="array" aca="1" ref="F63" ca="1">INDIRECT(ADDRESS(ROW($C$22)+($B$45-1)+1,COLUMN($C$22)+($B63-1)*3,1,FALSE),FALSE)</f>
        <v>Goths</v>
      </c>
      <c r="G63" s="101" t="str" cm="1">
        <f t="array" aca="1" ref="G63" ca="1">INDIRECT(ADDRESS(ROW($C$22)+($B$45-1)+1,COLUMN($C$22)+($B63-1)*3+1,1,FALSE),FALSE)</f>
        <v>Mil</v>
      </c>
      <c r="H63" s="101" cm="1">
        <f t="array" aca="1" ref="H63" ca="1">INDIRECT(ADDRESS(ROW($C$22)+($B$45-1)+1,COLUMN($C$22)+($B63-1)*3+2,1,FALSE),FALSE)</f>
        <v>1550</v>
      </c>
      <c r="I63" s="102" t="str" cm="1">
        <f t="array" aca="1" ref="I63" ca="1">INDIRECT(ADDRESS(ROW($C$22)+($B$45-1)+2,COLUMN($C$22)+($B63-1)*3,1,FALSE),FALSE)</f>
        <v>Aztecs</v>
      </c>
      <c r="J63" s="102" t="str" cm="1">
        <f t="array" aca="1" ref="J63" ca="1">INDIRECT(ADDRESS(ROW($C$22)+($B$45-1)+2,COLUMN($C$22)+($B63-1)*3+1,1,FALSE),FALSE)</f>
        <v>Mil</v>
      </c>
      <c r="K63" s="102" cm="1">
        <f t="array" aca="1" ref="K63" ca="1">INDIRECT(ADDRESS(ROW($C$22)+($B$45-1)+2,COLUMN($C$22)+($B63-1)*3+2,1,FALSE),FALSE)</f>
        <v>1600</v>
      </c>
      <c r="L63" s="103" t="str" cm="1">
        <f t="array" aca="1" ref="L63" ca="1">INDIRECT(ADDRESS(ROW($C$22)+($B$45-1)+3,COLUMN($C$22)+($B63-1)*3,1,FALSE),FALSE)</f>
        <v>Ottomans</v>
      </c>
      <c r="M63" s="103" t="str" cm="1">
        <f t="array" aca="1" ref="M63" ca="1">INDIRECT(ADDRESS(ROW($C$22)+($B$45-1)+3,COLUMN($C$22)+($B63-1)*3+1,1,FALSE),FALSE)</f>
        <v>Exp</v>
      </c>
      <c r="N63" s="103" cm="1">
        <f t="array" aca="1" ref="N63" ca="1">INDIRECT(ADDRESS(ROW($C$22)+($B$45-1)+3,COLUMN($C$22)+($B63-1)*3+2,1,FALSE),FALSE)</f>
        <v>1350</v>
      </c>
      <c r="O63" s="104" t="str" cm="1">
        <f t="array" aca="1" ref="O63" ca="1">INDIRECT(ADDRESS(ROW($C$22)+($B$45-1)+4,COLUMN($C$22)+($B63-1)*3,1,FALSE),FALSE)</f>
        <v>Russians</v>
      </c>
      <c r="P63" s="104" t="str" cm="1">
        <f t="array" aca="1" ref="P63" ca="1">INDIRECT(ADDRESS(ROW($C$22)+($B$45-1)+4,COLUMN($C$22)+($B63-1)*3+1,1,FALSE),FALSE)</f>
        <v>Exp</v>
      </c>
      <c r="Q63" s="104" cm="1">
        <f t="array" aca="1" ref="Q63" ca="1">INDIRECT(ADDRESS(ROW($C$22)+($B$45-1)+4,COLUMN($C$22)+($B63-1)*3+2,1,FALSE),FALSE)</f>
        <v>1850</v>
      </c>
      <c r="R63" s="317" t="str" cm="1">
        <f t="array" aca="1" ref="R63" ca="1">INDIRECT(ADDRESS(ROW($C$22)+($B$45-1)+5,COLUMN($C$22)+($B63-1)*3,1,FALSE),FALSE)</f>
        <v>Turks</v>
      </c>
      <c r="S63" s="317" t="str" cm="1">
        <f t="array" aca="1" ref="S63" ca="1">INDIRECT(ADDRESS(ROW($C$22)+($B$45-1)+5,COLUMN($C$22)+($B63-1)*3+1,1,FALSE),FALSE)</f>
        <v>Agr</v>
      </c>
      <c r="T63" s="317" cm="1">
        <f t="array" aca="1" ref="T63" ca="1">INDIRECT(ADDRESS(ROW($C$22)+($B$45-1)+5,COLUMN($C$22)+($B63-1)*3+2,1,FALSE),FALSE)</f>
        <v>5950</v>
      </c>
    </row>
    <row r="64" spans="1:37" x14ac:dyDescent="0.25">
      <c r="B64" s="345">
        <f t="shared" si="82"/>
        <v>20</v>
      </c>
      <c r="C64" s="100" t="str" cm="1">
        <f t="array" aca="1" ref="C64" ca="1">INDIRECT(ADDRESS(ROW($C$22)+($B$45-1),COLUMN($C$22)+($B64-1)*3,1,FALSE),FALSE)</f>
        <v>Assyrians</v>
      </c>
      <c r="D64" s="100" t="str" cm="1">
        <f t="array" aca="1" ref="D64" ca="1">INDIRECT(ADDRESS(ROW($C$22)+($B$45-1),COLUMN($C$22)+($B64-1)*3+1,1,FALSE),FALSE)</f>
        <v>Exp</v>
      </c>
      <c r="E64" s="100" cm="1">
        <f t="array" aca="1" ref="E64" ca="1">INDIRECT(ADDRESS(ROW($C$22)+($B$45-1),COLUMN($C$22)+($B64-1)*3+2,1,FALSE),FALSE)</f>
        <v>1200</v>
      </c>
      <c r="F64" s="101" t="str" cm="1">
        <f t="array" aca="1" ref="F64" ca="1">INDIRECT(ADDRESS(ROW($C$22)+($B$45-1)+1,COLUMN($C$22)+($B64-1)*3,1,FALSE),FALSE)</f>
        <v>Huns</v>
      </c>
      <c r="G64" s="101" t="str" cm="1">
        <f t="array" aca="1" ref="G64" ca="1">INDIRECT(ADDRESS(ROW($C$22)+($B$45-1)+1,COLUMN($C$22)+($B64-1)*3+1,1,FALSE),FALSE)</f>
        <v>Mil</v>
      </c>
      <c r="H64" s="101" cm="1">
        <f t="array" aca="1" ref="H64" ca="1">INDIRECT(ADDRESS(ROW($C$22)+($B$45-1)+1,COLUMN($C$22)+($B64-1)*3+2,1,FALSE),FALSE)</f>
        <v>1150</v>
      </c>
      <c r="I64" s="102" t="str" cm="1">
        <f t="array" aca="1" ref="I64" ca="1">INDIRECT(ADDRESS(ROW($C$22)+($B$45-1)+2,COLUMN($C$22)+($B64-1)*3,1,FALSE),FALSE)</f>
        <v>Franks</v>
      </c>
      <c r="J64" s="102" t="str" cm="1">
        <f t="array" aca="1" ref="J64" ca="1">INDIRECT(ADDRESS(ROW($C$22)+($B$45-1)+2,COLUMN($C$22)+($B64-1)*3+1,1,FALSE),FALSE)</f>
        <v>Aes</v>
      </c>
      <c r="K64" s="102" cm="1">
        <f t="array" aca="1" ref="K64" ca="1">INDIRECT(ADDRESS(ROW($C$22)+($B$45-1)+2,COLUMN($C$22)+($B64-1)*3+2,1,FALSE),FALSE)</f>
        <v>1200</v>
      </c>
      <c r="L64" s="103" t="str" cm="1">
        <f t="array" aca="1" ref="L64" ca="1">INDIRECT(ADDRESS(ROW($C$22)+($B$45-1)+3,COLUMN($C$22)+($B64-1)*3,1,FALSE),FALSE)</f>
        <v>Ming</v>
      </c>
      <c r="M64" s="103" t="str" cm="1">
        <f t="array" aca="1" ref="M64" ca="1">INDIRECT(ADDRESS(ROW($C$22)+($B$45-1)+3,COLUMN($C$22)+($B64-1)*3+1,1,FALSE),FALSE)</f>
        <v>Aes</v>
      </c>
      <c r="N64" s="103" cm="1">
        <f t="array" aca="1" ref="N64" ca="1">INDIRECT(ADDRESS(ROW($C$22)+($B$45-1)+3,COLUMN($C$22)+($B64-1)*3+2,1,FALSE),FALSE)</f>
        <v>1100</v>
      </c>
      <c r="O64" s="104" t="str" cm="1">
        <f t="array" aca="1" ref="O64" ca="1">INDIRECT(ADDRESS(ROW($C$22)+($B$45-1)+4,COLUMN($C$22)+($B64-1)*3,1,FALSE),FALSE)</f>
        <v>French</v>
      </c>
      <c r="P64" s="104" t="str" cm="1">
        <f t="array" aca="1" ref="P64" ca="1">INDIRECT(ADDRESS(ROW($C$22)+($B$45-1)+4,COLUMN($C$22)+($B64-1)*3+1,1,FALSE),FALSE)</f>
        <v>Sci</v>
      </c>
      <c r="Q64" s="104" cm="1">
        <f t="array" aca="1" ref="Q64" ca="1">INDIRECT(ADDRESS(ROW($C$22)+($B$45-1)+4,COLUMN($C$22)+($B64-1)*3+2,1,FALSE),FALSE)</f>
        <v>1850</v>
      </c>
      <c r="R64" s="317" t="str" cm="1">
        <f t="array" aca="1" ref="R64" ca="1">INDIRECT(ADDRESS(ROW($C$22)+($B$45-1)+5,COLUMN($C$22)+($B64-1)*3,1,FALSE),FALSE)</f>
        <v>Japanese</v>
      </c>
      <c r="S64" s="317" t="str" cm="1">
        <f t="array" aca="1" ref="S64" ca="1">INDIRECT(ADDRESS(ROW($C$22)+($B$45-1)+5,COLUMN($C$22)+($B64-1)*3+1,1,FALSE),FALSE)</f>
        <v>Sci</v>
      </c>
      <c r="T64" s="317" cm="1">
        <f t="array" aca="1" ref="T64" ca="1">INDIRECT(ADDRESS(ROW($C$22)+($B$45-1)+5,COLUMN($C$22)+($B64-1)*3+2,1,FALSE),FALSE)</f>
        <v>5100</v>
      </c>
    </row>
    <row r="65" spans="2:24" x14ac:dyDescent="0.25">
      <c r="B65" s="345">
        <f t="shared" si="82"/>
        <v>21</v>
      </c>
      <c r="C65" s="100" t="str" cm="1">
        <f t="array" aca="1" ref="C65" ca="1">INDIRECT(ADDRESS(ROW($C$22)+($B$45-1),COLUMN($C$22)+($B65-1)*3,1,FALSE),FALSE)</f>
        <v>Olmecs</v>
      </c>
      <c r="D65" s="100" t="str" cm="1">
        <f t="array" aca="1" ref="D65" ca="1">INDIRECT(ADDRESS(ROW($C$22)+($B$45-1),COLUMN($C$22)+($B65-1)*3+1,1,FALSE),FALSE)</f>
        <v>Aes</v>
      </c>
      <c r="E65" s="100" cm="1">
        <f t="array" aca="1" ref="E65" ca="1">INDIRECT(ADDRESS(ROW($C$22)+($B$45-1),COLUMN($C$22)+($B65-1)*3+2,1,FALSE),FALSE)</f>
        <v>2100</v>
      </c>
      <c r="F65" s="101" t="str" cm="1">
        <f t="array" aca="1" ref="F65" ca="1">INDIRECT(ADDRESS(ROW($C$22)+($B$45-1)+1,COLUMN($C$22)+($B65-1)*3,1,FALSE),FALSE)</f>
        <v>Greeks</v>
      </c>
      <c r="G65" s="101" t="str" cm="1">
        <f t="array" aca="1" ref="G65" ca="1">INDIRECT(ADDRESS(ROW($C$22)+($B$45-1)+1,COLUMN($C$22)+($B65-1)*3+1,1,FALSE),FALSE)</f>
        <v>Sci</v>
      </c>
      <c r="H65" s="101" cm="1">
        <f t="array" aca="1" ref="H65" ca="1">INDIRECT(ADDRESS(ROW($C$22)+($B$45-1)+1,COLUMN($C$22)+($B65-1)*3+2,1,FALSE),FALSE)</f>
        <v>1450</v>
      </c>
      <c r="I65" s="102" t="str" cm="1">
        <f t="array" aca="1" ref="I65" ca="1">INDIRECT(ADDRESS(ROW($C$22)+($B$45-1)+2,COLUMN($C$22)+($B65-1)*3,1,FALSE),FALSE)</f>
        <v>Mongols</v>
      </c>
      <c r="J65" s="102" t="str" cm="1">
        <f t="array" aca="1" ref="J65" ca="1">INDIRECT(ADDRESS(ROW($C$22)+($B$45-1)+2,COLUMN($C$22)+($B65-1)*3+1,1,FALSE),FALSE)</f>
        <v>Mil</v>
      </c>
      <c r="K65" s="102" cm="1">
        <f t="array" aca="1" ref="K65" ca="1">INDIRECT(ADDRESS(ROW($C$22)+($B$45-1)+2,COLUMN($C$22)+($B65-1)*3+2,1,FALSE),FALSE)</f>
        <v>1500</v>
      </c>
      <c r="L65" s="103" t="str" cm="1">
        <f t="array" aca="1" ref="L65" ca="1">INDIRECT(ADDRESS(ROW($C$22)+($B$45-1)+3,COLUMN($C$22)+($B65-1)*3,1,FALSE),FALSE)</f>
        <v>Haudenosaunee</v>
      </c>
      <c r="M65" s="103" t="str" cm="1">
        <f t="array" aca="1" ref="M65" ca="1">INDIRECT(ADDRESS(ROW($C$22)+($B$45-1)+3,COLUMN($C$22)+($B65-1)*3+1,1,FALSE),FALSE)</f>
        <v>Agr</v>
      </c>
      <c r="N65" s="103" cm="1">
        <f t="array" aca="1" ref="N65" ca="1">INDIRECT(ADDRESS(ROW($C$22)+($B$45-1)+3,COLUMN($C$22)+($B65-1)*3+2,1,FALSE),FALSE)</f>
        <v>2050</v>
      </c>
      <c r="O65" s="104" t="str" cm="1">
        <f t="array" aca="1" ref="O65" ca="1">INDIRECT(ADDRESS(ROW($C$22)+($B$45-1)+4,COLUMN($C$22)+($B65-1)*3,1,FALSE),FALSE)</f>
        <v>Germans</v>
      </c>
      <c r="P65" s="104" t="str" cm="1">
        <f t="array" aca="1" ref="P65" ca="1">INDIRECT(ADDRESS(ROW($C$22)+($B$45-1)+4,COLUMN($C$22)+($B65-1)*3+1,1,FALSE),FALSE)</f>
        <v>Mil</v>
      </c>
      <c r="Q65" s="104" cm="1">
        <f t="array" aca="1" ref="Q65" ca="1">INDIRECT(ADDRESS(ROW($C$22)+($B$45-1)+4,COLUMN($C$22)+($B65-1)*3+2,1,FALSE),FALSE)</f>
        <v>3350</v>
      </c>
      <c r="R65" s="317" t="str" cm="1">
        <f t="array" aca="1" ref="R65" ca="1">INDIRECT(ADDRESS(ROW($C$22)+($B$45-1)+5,COLUMN($C$22)+($B65-1)*3,1,FALSE),FALSE)</f>
        <v>Americans</v>
      </c>
      <c r="S65" s="317" t="str" cm="1">
        <f t="array" aca="1" ref="S65" ca="1">INDIRECT(ADDRESS(ROW($C$22)+($B$45-1)+5,COLUMN($C$22)+($B65-1)*3+1,1,FALSE),FALSE)</f>
        <v>Exp</v>
      </c>
      <c r="T65" s="317" cm="1">
        <f t="array" aca="1" ref="T65" ca="1">INDIRECT(ADDRESS(ROW($C$22)+($B$45-1)+5,COLUMN($C$22)+($B65-1)*3+2,1,FALSE),FALSE)</f>
        <v>4150</v>
      </c>
    </row>
    <row r="67" spans="2:24" ht="13.8" thickBot="1" x14ac:dyDescent="0.3"/>
    <row r="68" spans="2:24" x14ac:dyDescent="0.25">
      <c r="B68" s="346" t="s">
        <v>663</v>
      </c>
      <c r="C68" s="128" t="s">
        <v>8</v>
      </c>
      <c r="D68" s="349">
        <f ca="1">SUM(D69:D83)</f>
        <v>20</v>
      </c>
      <c r="E68" s="349" t="str">
        <f>LEFT(C68,3)</f>
        <v>Bui</v>
      </c>
      <c r="F68" s="128" t="s">
        <v>9</v>
      </c>
      <c r="G68" s="349">
        <f ca="1">SUM(G69:G83)</f>
        <v>5</v>
      </c>
      <c r="H68" s="349" t="str">
        <f>LEFT(F68,3)</f>
        <v>Agr</v>
      </c>
      <c r="I68" s="128" t="s">
        <v>10</v>
      </c>
      <c r="J68" s="349">
        <f ca="1">SUM(J69:J83)</f>
        <v>15</v>
      </c>
      <c r="K68" s="349" t="str">
        <f>LEFT(I68,3)</f>
        <v>Exp</v>
      </c>
      <c r="L68" s="128" t="s">
        <v>11</v>
      </c>
      <c r="M68" s="349">
        <f ca="1">SUM(M69:M83)</f>
        <v>5</v>
      </c>
      <c r="N68" s="349" t="str">
        <f>LEFT(L68,3)</f>
        <v>Mil</v>
      </c>
      <c r="O68" s="128" t="s">
        <v>538</v>
      </c>
      <c r="P68" s="349">
        <f ca="1">SUM(P69:P83)</f>
        <v>17</v>
      </c>
      <c r="Q68" s="349" t="str">
        <f>LEFT(O68,3)</f>
        <v>Aes</v>
      </c>
      <c r="R68" s="128" t="s">
        <v>12</v>
      </c>
      <c r="S68" s="349">
        <f ca="1">SUM(S69:S83)</f>
        <v>7</v>
      </c>
      <c r="T68" s="349" t="str">
        <f>LEFT(R68,3)</f>
        <v>Mer</v>
      </c>
      <c r="U68" s="128" t="s">
        <v>13</v>
      </c>
      <c r="V68" s="349">
        <f ca="1">SUM(V69:V83)</f>
        <v>21</v>
      </c>
      <c r="W68" s="349" t="str">
        <f>LEFT(U68,3)</f>
        <v>Sci</v>
      </c>
      <c r="X68" s="347" t="s">
        <v>562</v>
      </c>
    </row>
    <row r="69" spans="2:24" x14ac:dyDescent="0.25">
      <c r="B69" s="196">
        <v>1</v>
      </c>
      <c r="C69" s="344"/>
      <c r="D69" s="345">
        <f t="shared" ref="D69:D87" ca="1" si="83">COUNTIF($C45:$T45,E$68)</f>
        <v>1</v>
      </c>
      <c r="E69" s="345"/>
      <c r="F69" s="345"/>
      <c r="G69" s="345">
        <f t="shared" ref="G69:G87" ca="1" si="84">COUNTIF($C45:$T45,H$68)</f>
        <v>0</v>
      </c>
      <c r="H69" s="345"/>
      <c r="I69" s="345"/>
      <c r="J69" s="345">
        <f t="shared" ref="J69:J87" ca="1" si="85">COUNTIF($C45:$T45,K$68)</f>
        <v>1</v>
      </c>
      <c r="K69" s="345"/>
      <c r="L69" s="345"/>
      <c r="M69" s="345">
        <f t="shared" ref="M69:M87" ca="1" si="86">COUNTIF($C45:$T45,N$68)</f>
        <v>0</v>
      </c>
      <c r="N69" s="345"/>
      <c r="O69" s="345"/>
      <c r="P69" s="345">
        <f t="shared" ref="P69:P87" ca="1" si="87">COUNTIF($C45:$T45,Q$68)</f>
        <v>1</v>
      </c>
      <c r="Q69" s="345"/>
      <c r="R69" s="345"/>
      <c r="S69" s="345">
        <f t="shared" ref="S69:S87" ca="1" si="88">COUNTIF($C45:$T45,T$68)</f>
        <v>0</v>
      </c>
      <c r="T69" s="345"/>
      <c r="U69" s="345"/>
      <c r="V69" s="345">
        <f t="shared" ref="V69:V87" ca="1" si="89">COUNTIF($C45:$T45,W$68)</f>
        <v>3</v>
      </c>
      <c r="W69" s="344"/>
      <c r="X69" s="348">
        <f ca="1">SUM(D69:V69)</f>
        <v>6</v>
      </c>
    </row>
    <row r="70" spans="2:24" x14ac:dyDescent="0.25">
      <c r="B70" s="196">
        <f>B69+1</f>
        <v>2</v>
      </c>
      <c r="C70" s="344"/>
      <c r="D70" s="345">
        <f t="shared" ca="1" si="83"/>
        <v>1</v>
      </c>
      <c r="E70" s="345"/>
      <c r="F70" s="345"/>
      <c r="G70" s="345">
        <f t="shared" ca="1" si="84"/>
        <v>0</v>
      </c>
      <c r="H70" s="345"/>
      <c r="I70" s="345"/>
      <c r="J70" s="345">
        <f t="shared" ca="1" si="85"/>
        <v>2</v>
      </c>
      <c r="K70" s="345"/>
      <c r="L70" s="345"/>
      <c r="M70" s="345">
        <f t="shared" ca="1" si="86"/>
        <v>0</v>
      </c>
      <c r="N70" s="345"/>
      <c r="O70" s="345"/>
      <c r="P70" s="345">
        <f t="shared" ca="1" si="87"/>
        <v>0</v>
      </c>
      <c r="Q70" s="345"/>
      <c r="R70" s="345"/>
      <c r="S70" s="345">
        <f t="shared" ca="1" si="88"/>
        <v>0</v>
      </c>
      <c r="T70" s="345"/>
      <c r="U70" s="345"/>
      <c r="V70" s="345">
        <f t="shared" ca="1" si="89"/>
        <v>3</v>
      </c>
      <c r="W70" s="344"/>
      <c r="X70" s="348">
        <f t="shared" ref="X70:X82" ca="1" si="90">SUM(D70:V70)</f>
        <v>6</v>
      </c>
    </row>
    <row r="71" spans="2:24" x14ac:dyDescent="0.25">
      <c r="B71" s="196">
        <f>B70+1</f>
        <v>3</v>
      </c>
      <c r="C71" s="344"/>
      <c r="D71" s="345">
        <f t="shared" ca="1" si="83"/>
        <v>2</v>
      </c>
      <c r="E71" s="345"/>
      <c r="F71" s="345"/>
      <c r="G71" s="345">
        <f t="shared" ca="1" si="84"/>
        <v>0</v>
      </c>
      <c r="H71" s="345"/>
      <c r="I71" s="345"/>
      <c r="J71" s="345">
        <f t="shared" ca="1" si="85"/>
        <v>1</v>
      </c>
      <c r="K71" s="345"/>
      <c r="L71" s="345"/>
      <c r="M71" s="345">
        <f t="shared" ca="1" si="86"/>
        <v>1</v>
      </c>
      <c r="N71" s="345"/>
      <c r="O71" s="345"/>
      <c r="P71" s="345">
        <f t="shared" ca="1" si="87"/>
        <v>1</v>
      </c>
      <c r="Q71" s="345"/>
      <c r="R71" s="345"/>
      <c r="S71" s="345">
        <f t="shared" ca="1" si="88"/>
        <v>0</v>
      </c>
      <c r="T71" s="345"/>
      <c r="U71" s="345"/>
      <c r="V71" s="345">
        <f t="shared" ca="1" si="89"/>
        <v>1</v>
      </c>
      <c r="W71" s="344"/>
      <c r="X71" s="348">
        <f t="shared" ca="1" si="90"/>
        <v>6</v>
      </c>
    </row>
    <row r="72" spans="2:24" x14ac:dyDescent="0.25">
      <c r="B72" s="196">
        <f>B71+1</f>
        <v>4</v>
      </c>
      <c r="C72" s="344"/>
      <c r="D72" s="345">
        <f t="shared" ca="1" si="83"/>
        <v>1</v>
      </c>
      <c r="E72" s="345"/>
      <c r="F72" s="345"/>
      <c r="G72" s="345">
        <f t="shared" ca="1" si="84"/>
        <v>0</v>
      </c>
      <c r="H72" s="345"/>
      <c r="I72" s="345"/>
      <c r="J72" s="345">
        <f t="shared" ca="1" si="85"/>
        <v>1</v>
      </c>
      <c r="K72" s="345"/>
      <c r="L72" s="345"/>
      <c r="M72" s="345">
        <f t="shared" ca="1" si="86"/>
        <v>0</v>
      </c>
      <c r="N72" s="345"/>
      <c r="O72" s="345"/>
      <c r="P72" s="345">
        <f t="shared" ca="1" si="87"/>
        <v>1</v>
      </c>
      <c r="Q72" s="345"/>
      <c r="R72" s="345"/>
      <c r="S72" s="345">
        <f t="shared" ca="1" si="88"/>
        <v>0</v>
      </c>
      <c r="T72" s="345"/>
      <c r="U72" s="345"/>
      <c r="V72" s="345">
        <f t="shared" ca="1" si="89"/>
        <v>3</v>
      </c>
      <c r="W72" s="344"/>
      <c r="X72" s="348">
        <f t="shared" ca="1" si="90"/>
        <v>6</v>
      </c>
    </row>
    <row r="73" spans="2:24" x14ac:dyDescent="0.25">
      <c r="B73" s="196">
        <f>B72+1</f>
        <v>5</v>
      </c>
      <c r="C73" s="344"/>
      <c r="D73" s="345">
        <f t="shared" ca="1" si="83"/>
        <v>2</v>
      </c>
      <c r="E73" s="345"/>
      <c r="F73" s="345"/>
      <c r="G73" s="345">
        <f t="shared" ca="1" si="84"/>
        <v>0</v>
      </c>
      <c r="H73" s="345"/>
      <c r="I73" s="345"/>
      <c r="J73" s="345">
        <f t="shared" ca="1" si="85"/>
        <v>0</v>
      </c>
      <c r="K73" s="345"/>
      <c r="L73" s="345"/>
      <c r="M73" s="345">
        <f t="shared" ca="1" si="86"/>
        <v>0</v>
      </c>
      <c r="N73" s="345"/>
      <c r="O73" s="345"/>
      <c r="P73" s="345">
        <f t="shared" ca="1" si="87"/>
        <v>2</v>
      </c>
      <c r="Q73" s="345"/>
      <c r="R73" s="345"/>
      <c r="S73" s="345">
        <f t="shared" ca="1" si="88"/>
        <v>0</v>
      </c>
      <c r="T73" s="345"/>
      <c r="U73" s="345"/>
      <c r="V73" s="345">
        <f t="shared" ca="1" si="89"/>
        <v>2</v>
      </c>
      <c r="W73" s="344"/>
      <c r="X73" s="348">
        <f t="shared" ca="1" si="90"/>
        <v>6</v>
      </c>
    </row>
    <row r="74" spans="2:24" x14ac:dyDescent="0.25">
      <c r="B74" s="196">
        <f>B73+1</f>
        <v>6</v>
      </c>
      <c r="C74" s="344"/>
      <c r="D74" s="345">
        <f t="shared" ca="1" si="83"/>
        <v>3</v>
      </c>
      <c r="E74" s="345"/>
      <c r="F74" s="345"/>
      <c r="G74" s="345">
        <f t="shared" ca="1" si="84"/>
        <v>0</v>
      </c>
      <c r="H74" s="345"/>
      <c r="I74" s="345"/>
      <c r="J74" s="345">
        <f t="shared" ca="1" si="85"/>
        <v>1</v>
      </c>
      <c r="K74" s="345"/>
      <c r="L74" s="345"/>
      <c r="M74" s="345">
        <f t="shared" ca="1" si="86"/>
        <v>0</v>
      </c>
      <c r="N74" s="345"/>
      <c r="O74" s="345"/>
      <c r="P74" s="345">
        <f t="shared" ca="1" si="87"/>
        <v>1</v>
      </c>
      <c r="Q74" s="345"/>
      <c r="R74" s="345"/>
      <c r="S74" s="345">
        <f t="shared" ca="1" si="88"/>
        <v>1</v>
      </c>
      <c r="T74" s="345"/>
      <c r="U74" s="345"/>
      <c r="V74" s="345">
        <f t="shared" ca="1" si="89"/>
        <v>0</v>
      </c>
      <c r="W74" s="344"/>
      <c r="X74" s="348">
        <f t="shared" ca="1" si="90"/>
        <v>6</v>
      </c>
    </row>
    <row r="75" spans="2:24" x14ac:dyDescent="0.25">
      <c r="B75" s="196">
        <f t="shared" ref="B75:B89" si="91">B74+1</f>
        <v>7</v>
      </c>
      <c r="C75" s="344"/>
      <c r="D75" s="345">
        <f t="shared" ca="1" si="83"/>
        <v>2</v>
      </c>
      <c r="E75" s="345"/>
      <c r="F75" s="345"/>
      <c r="G75" s="345">
        <f t="shared" ca="1" si="84"/>
        <v>0</v>
      </c>
      <c r="H75" s="345"/>
      <c r="I75" s="345"/>
      <c r="J75" s="345">
        <f t="shared" ca="1" si="85"/>
        <v>0</v>
      </c>
      <c r="K75" s="345"/>
      <c r="L75" s="345"/>
      <c r="M75" s="345">
        <f t="shared" ca="1" si="86"/>
        <v>1</v>
      </c>
      <c r="N75" s="345"/>
      <c r="O75" s="345"/>
      <c r="P75" s="345">
        <f t="shared" ca="1" si="87"/>
        <v>2</v>
      </c>
      <c r="Q75" s="345"/>
      <c r="R75" s="345"/>
      <c r="S75" s="345">
        <f t="shared" ca="1" si="88"/>
        <v>0</v>
      </c>
      <c r="T75" s="345"/>
      <c r="U75" s="345"/>
      <c r="V75" s="345">
        <f t="shared" ca="1" si="89"/>
        <v>1</v>
      </c>
      <c r="W75" s="344"/>
      <c r="X75" s="348">
        <f t="shared" ca="1" si="90"/>
        <v>6</v>
      </c>
    </row>
    <row r="76" spans="2:24" x14ac:dyDescent="0.25">
      <c r="B76" s="196">
        <f t="shared" si="91"/>
        <v>8</v>
      </c>
      <c r="C76" s="344"/>
      <c r="D76" s="345">
        <f t="shared" ca="1" si="83"/>
        <v>1</v>
      </c>
      <c r="E76" s="345"/>
      <c r="F76" s="345"/>
      <c r="G76" s="345">
        <f t="shared" ca="1" si="84"/>
        <v>0</v>
      </c>
      <c r="H76" s="345"/>
      <c r="I76" s="345"/>
      <c r="J76" s="345">
        <f t="shared" ca="1" si="85"/>
        <v>1</v>
      </c>
      <c r="K76" s="345"/>
      <c r="L76" s="345"/>
      <c r="M76" s="345">
        <f t="shared" ca="1" si="86"/>
        <v>0</v>
      </c>
      <c r="N76" s="345"/>
      <c r="O76" s="345"/>
      <c r="P76" s="345">
        <f t="shared" ca="1" si="87"/>
        <v>1</v>
      </c>
      <c r="Q76" s="345"/>
      <c r="R76" s="345"/>
      <c r="S76" s="345">
        <f t="shared" ca="1" si="88"/>
        <v>1</v>
      </c>
      <c r="T76" s="345"/>
      <c r="U76" s="345"/>
      <c r="V76" s="345">
        <f t="shared" ca="1" si="89"/>
        <v>2</v>
      </c>
      <c r="W76" s="344"/>
      <c r="X76" s="348">
        <f t="shared" ca="1" si="90"/>
        <v>6</v>
      </c>
    </row>
    <row r="77" spans="2:24" x14ac:dyDescent="0.25">
      <c r="B77" s="196">
        <f t="shared" si="91"/>
        <v>9</v>
      </c>
      <c r="C77" s="344"/>
      <c r="D77" s="345">
        <f t="shared" ca="1" si="83"/>
        <v>2</v>
      </c>
      <c r="E77" s="345"/>
      <c r="F77" s="345"/>
      <c r="G77" s="345">
        <f t="shared" ca="1" si="84"/>
        <v>0</v>
      </c>
      <c r="H77" s="345"/>
      <c r="I77" s="345"/>
      <c r="J77" s="345">
        <f t="shared" ca="1" si="85"/>
        <v>0</v>
      </c>
      <c r="K77" s="345"/>
      <c r="L77" s="345"/>
      <c r="M77" s="345">
        <f t="shared" ca="1" si="86"/>
        <v>0</v>
      </c>
      <c r="N77" s="345"/>
      <c r="O77" s="345"/>
      <c r="P77" s="345">
        <f t="shared" ca="1" si="87"/>
        <v>1</v>
      </c>
      <c r="Q77" s="345"/>
      <c r="R77" s="345"/>
      <c r="S77" s="345">
        <f t="shared" ca="1" si="88"/>
        <v>1</v>
      </c>
      <c r="T77" s="345"/>
      <c r="U77" s="345"/>
      <c r="V77" s="345">
        <f t="shared" ca="1" si="89"/>
        <v>2</v>
      </c>
      <c r="W77" s="344"/>
      <c r="X77" s="348">
        <f t="shared" ca="1" si="90"/>
        <v>6</v>
      </c>
    </row>
    <row r="78" spans="2:24" x14ac:dyDescent="0.25">
      <c r="B78" s="196">
        <f t="shared" si="91"/>
        <v>10</v>
      </c>
      <c r="C78" s="344"/>
      <c r="D78" s="345">
        <f t="shared" ca="1" si="83"/>
        <v>1</v>
      </c>
      <c r="E78" s="345"/>
      <c r="F78" s="345"/>
      <c r="G78" s="345">
        <f t="shared" ca="1" si="84"/>
        <v>0</v>
      </c>
      <c r="H78" s="345"/>
      <c r="I78" s="345"/>
      <c r="J78" s="345">
        <f t="shared" ca="1" si="85"/>
        <v>0</v>
      </c>
      <c r="K78" s="345"/>
      <c r="L78" s="345"/>
      <c r="M78" s="345">
        <f t="shared" ca="1" si="86"/>
        <v>0</v>
      </c>
      <c r="N78" s="345"/>
      <c r="O78" s="345"/>
      <c r="P78" s="345">
        <f t="shared" ca="1" si="87"/>
        <v>3</v>
      </c>
      <c r="Q78" s="345"/>
      <c r="R78" s="345"/>
      <c r="S78" s="345">
        <f t="shared" ca="1" si="88"/>
        <v>1</v>
      </c>
      <c r="T78" s="345"/>
      <c r="U78" s="345"/>
      <c r="V78" s="345">
        <f t="shared" ca="1" si="89"/>
        <v>1</v>
      </c>
      <c r="W78" s="344"/>
      <c r="X78" s="348">
        <f t="shared" ca="1" si="90"/>
        <v>6</v>
      </c>
    </row>
    <row r="79" spans="2:24" x14ac:dyDescent="0.25">
      <c r="B79" s="196">
        <f t="shared" si="91"/>
        <v>11</v>
      </c>
      <c r="C79" s="344"/>
      <c r="D79" s="345">
        <f t="shared" ca="1" si="83"/>
        <v>2</v>
      </c>
      <c r="E79" s="345"/>
      <c r="F79" s="345"/>
      <c r="G79" s="345">
        <f t="shared" ca="1" si="84"/>
        <v>2</v>
      </c>
      <c r="H79" s="345"/>
      <c r="I79" s="345"/>
      <c r="J79" s="345">
        <f t="shared" ca="1" si="85"/>
        <v>0</v>
      </c>
      <c r="K79" s="345"/>
      <c r="L79" s="345"/>
      <c r="M79" s="345">
        <f t="shared" ca="1" si="86"/>
        <v>0</v>
      </c>
      <c r="N79" s="345"/>
      <c r="O79" s="345"/>
      <c r="P79" s="345">
        <f t="shared" ca="1" si="87"/>
        <v>1</v>
      </c>
      <c r="Q79" s="345"/>
      <c r="R79" s="345"/>
      <c r="S79" s="345">
        <f t="shared" ca="1" si="88"/>
        <v>1</v>
      </c>
      <c r="T79" s="345"/>
      <c r="U79" s="345"/>
      <c r="V79" s="345">
        <f t="shared" ca="1" si="89"/>
        <v>0</v>
      </c>
      <c r="W79" s="344"/>
      <c r="X79" s="348">
        <f t="shared" ca="1" si="90"/>
        <v>6</v>
      </c>
    </row>
    <row r="80" spans="2:24" x14ac:dyDescent="0.25">
      <c r="B80" s="196">
        <f t="shared" si="91"/>
        <v>12</v>
      </c>
      <c r="C80" s="344"/>
      <c r="D80" s="345">
        <f t="shared" ca="1" si="83"/>
        <v>1</v>
      </c>
      <c r="E80" s="345"/>
      <c r="F80" s="345"/>
      <c r="G80" s="345">
        <f t="shared" ca="1" si="84"/>
        <v>0</v>
      </c>
      <c r="H80" s="345"/>
      <c r="I80" s="345"/>
      <c r="J80" s="345">
        <f t="shared" ca="1" si="85"/>
        <v>2</v>
      </c>
      <c r="K80" s="345"/>
      <c r="L80" s="345"/>
      <c r="M80" s="345">
        <f t="shared" ca="1" si="86"/>
        <v>0</v>
      </c>
      <c r="N80" s="345"/>
      <c r="O80" s="345"/>
      <c r="P80" s="345">
        <f t="shared" ca="1" si="87"/>
        <v>2</v>
      </c>
      <c r="Q80" s="345"/>
      <c r="R80" s="345"/>
      <c r="S80" s="345">
        <f t="shared" ca="1" si="88"/>
        <v>0</v>
      </c>
      <c r="T80" s="345"/>
      <c r="U80" s="345"/>
      <c r="V80" s="345">
        <f t="shared" ca="1" si="89"/>
        <v>1</v>
      </c>
      <c r="W80" s="344"/>
      <c r="X80" s="348">
        <f t="shared" ca="1" si="90"/>
        <v>6</v>
      </c>
    </row>
    <row r="81" spans="2:24" x14ac:dyDescent="0.25">
      <c r="B81" s="196">
        <f t="shared" si="91"/>
        <v>13</v>
      </c>
      <c r="C81" s="344"/>
      <c r="D81" s="345">
        <f t="shared" ca="1" si="83"/>
        <v>1</v>
      </c>
      <c r="E81" s="345"/>
      <c r="F81" s="345"/>
      <c r="G81" s="345">
        <f t="shared" ca="1" si="84"/>
        <v>2</v>
      </c>
      <c r="H81" s="345"/>
      <c r="I81" s="345"/>
      <c r="J81" s="345">
        <f t="shared" ca="1" si="85"/>
        <v>3</v>
      </c>
      <c r="K81" s="345"/>
      <c r="L81" s="345"/>
      <c r="M81" s="345">
        <f t="shared" ca="1" si="86"/>
        <v>0</v>
      </c>
      <c r="N81" s="345"/>
      <c r="O81" s="345"/>
      <c r="P81" s="345">
        <f t="shared" ca="1" si="87"/>
        <v>0</v>
      </c>
      <c r="Q81" s="345"/>
      <c r="R81" s="345"/>
      <c r="S81" s="345">
        <f t="shared" ca="1" si="88"/>
        <v>0</v>
      </c>
      <c r="T81" s="345"/>
      <c r="U81" s="345"/>
      <c r="V81" s="345">
        <f t="shared" ca="1" si="89"/>
        <v>0</v>
      </c>
      <c r="W81" s="344"/>
      <c r="X81" s="348">
        <f t="shared" ca="1" si="90"/>
        <v>6</v>
      </c>
    </row>
    <row r="82" spans="2:24" x14ac:dyDescent="0.25">
      <c r="B82" s="196">
        <f t="shared" si="91"/>
        <v>14</v>
      </c>
      <c r="C82" s="344"/>
      <c r="D82" s="345">
        <f t="shared" ca="1" si="83"/>
        <v>0</v>
      </c>
      <c r="E82" s="345"/>
      <c r="F82" s="345"/>
      <c r="G82" s="345">
        <f t="shared" ca="1" si="84"/>
        <v>1</v>
      </c>
      <c r="H82" s="345"/>
      <c r="I82" s="345"/>
      <c r="J82" s="345">
        <f t="shared" ca="1" si="85"/>
        <v>0</v>
      </c>
      <c r="K82" s="345"/>
      <c r="L82" s="345"/>
      <c r="M82" s="345">
        <f t="shared" ca="1" si="86"/>
        <v>3</v>
      </c>
      <c r="N82" s="345"/>
      <c r="O82" s="345"/>
      <c r="P82" s="345">
        <f t="shared" ca="1" si="87"/>
        <v>0</v>
      </c>
      <c r="Q82" s="345"/>
      <c r="R82" s="345"/>
      <c r="S82" s="345">
        <f t="shared" ca="1" si="88"/>
        <v>1</v>
      </c>
      <c r="T82" s="345"/>
      <c r="U82" s="345"/>
      <c r="V82" s="345">
        <f t="shared" ca="1" si="89"/>
        <v>1</v>
      </c>
      <c r="W82" s="344"/>
      <c r="X82" s="348">
        <f t="shared" ca="1" si="90"/>
        <v>6</v>
      </c>
    </row>
    <row r="83" spans="2:24" x14ac:dyDescent="0.25">
      <c r="B83" s="196">
        <f t="shared" si="91"/>
        <v>15</v>
      </c>
      <c r="C83" s="344"/>
      <c r="D83" s="345">
        <f t="shared" ca="1" si="83"/>
        <v>0</v>
      </c>
      <c r="E83" s="345"/>
      <c r="F83" s="345"/>
      <c r="G83" s="345">
        <f t="shared" ca="1" si="84"/>
        <v>0</v>
      </c>
      <c r="H83" s="345"/>
      <c r="I83" s="345"/>
      <c r="J83" s="345">
        <f t="shared" ca="1" si="85"/>
        <v>3</v>
      </c>
      <c r="K83" s="345"/>
      <c r="L83" s="345"/>
      <c r="M83" s="345">
        <f t="shared" ca="1" si="86"/>
        <v>0</v>
      </c>
      <c r="N83" s="345"/>
      <c r="O83" s="345"/>
      <c r="P83" s="345">
        <f t="shared" ca="1" si="87"/>
        <v>1</v>
      </c>
      <c r="Q83" s="345"/>
      <c r="R83" s="345"/>
      <c r="S83" s="345">
        <f t="shared" ca="1" si="88"/>
        <v>1</v>
      </c>
      <c r="T83" s="345"/>
      <c r="U83" s="345"/>
      <c r="V83" s="345">
        <f t="shared" ca="1" si="89"/>
        <v>1</v>
      </c>
      <c r="W83" s="344"/>
      <c r="X83" s="348">
        <f t="shared" ref="X83" ca="1" si="92">SUM(D83:V83)</f>
        <v>6</v>
      </c>
    </row>
    <row r="84" spans="2:24" x14ac:dyDescent="0.25">
      <c r="B84" s="196">
        <f t="shared" si="91"/>
        <v>16</v>
      </c>
      <c r="C84" s="344"/>
      <c r="D84" s="345">
        <f t="shared" ca="1" si="83"/>
        <v>0</v>
      </c>
      <c r="E84" s="345"/>
      <c r="F84" s="345"/>
      <c r="G84" s="345">
        <f t="shared" ca="1" si="84"/>
        <v>1</v>
      </c>
      <c r="H84" s="345"/>
      <c r="I84" s="345"/>
      <c r="J84" s="345">
        <f t="shared" ca="1" si="85"/>
        <v>1</v>
      </c>
      <c r="K84" s="345"/>
      <c r="L84" s="345"/>
      <c r="M84" s="345">
        <f t="shared" ca="1" si="86"/>
        <v>0</v>
      </c>
      <c r="N84" s="345"/>
      <c r="O84" s="345"/>
      <c r="P84" s="345">
        <f t="shared" ca="1" si="87"/>
        <v>2</v>
      </c>
      <c r="Q84" s="345"/>
      <c r="R84" s="345"/>
      <c r="S84" s="345">
        <f t="shared" ca="1" si="88"/>
        <v>2</v>
      </c>
      <c r="T84" s="345"/>
      <c r="U84" s="345"/>
      <c r="V84" s="345">
        <f t="shared" ca="1" si="89"/>
        <v>0</v>
      </c>
      <c r="W84" s="344"/>
      <c r="X84" s="348">
        <f t="shared" ref="X84" ca="1" si="93">SUM(D84:V84)</f>
        <v>6</v>
      </c>
    </row>
    <row r="85" spans="2:24" x14ac:dyDescent="0.25">
      <c r="B85" s="196">
        <f t="shared" si="91"/>
        <v>17</v>
      </c>
      <c r="C85" s="344"/>
      <c r="D85" s="345">
        <f t="shared" ca="1" si="83"/>
        <v>0</v>
      </c>
      <c r="E85" s="345"/>
      <c r="F85" s="345"/>
      <c r="G85" s="345">
        <f t="shared" ca="1" si="84"/>
        <v>0</v>
      </c>
      <c r="H85" s="345"/>
      <c r="I85" s="345"/>
      <c r="J85" s="345">
        <f t="shared" ca="1" si="85"/>
        <v>0</v>
      </c>
      <c r="K85" s="345"/>
      <c r="L85" s="345"/>
      <c r="M85" s="345">
        <f t="shared" ca="1" si="86"/>
        <v>1</v>
      </c>
      <c r="N85" s="345"/>
      <c r="O85" s="345"/>
      <c r="P85" s="345">
        <f t="shared" ca="1" si="87"/>
        <v>5</v>
      </c>
      <c r="Q85" s="345"/>
      <c r="R85" s="345"/>
      <c r="S85" s="345">
        <f t="shared" ca="1" si="88"/>
        <v>0</v>
      </c>
      <c r="T85" s="345"/>
      <c r="U85" s="345"/>
      <c r="V85" s="345">
        <f t="shared" ca="1" si="89"/>
        <v>0</v>
      </c>
      <c r="W85" s="344"/>
      <c r="X85" s="348">
        <f t="shared" ref="X85" ca="1" si="94">SUM(D85:V85)</f>
        <v>6</v>
      </c>
    </row>
    <row r="86" spans="2:24" x14ac:dyDescent="0.25">
      <c r="B86" s="196">
        <f t="shared" si="91"/>
        <v>18</v>
      </c>
      <c r="C86" s="344"/>
      <c r="D86" s="345">
        <f t="shared" ca="1" si="83"/>
        <v>1</v>
      </c>
      <c r="E86" s="345"/>
      <c r="F86" s="345"/>
      <c r="G86" s="345">
        <f t="shared" ca="1" si="84"/>
        <v>2</v>
      </c>
      <c r="H86" s="345"/>
      <c r="I86" s="345"/>
      <c r="J86" s="345">
        <f t="shared" ca="1" si="85"/>
        <v>0</v>
      </c>
      <c r="K86" s="345"/>
      <c r="L86" s="345"/>
      <c r="M86" s="345">
        <f t="shared" ca="1" si="86"/>
        <v>0</v>
      </c>
      <c r="N86" s="345"/>
      <c r="O86" s="345"/>
      <c r="P86" s="345">
        <f t="shared" ca="1" si="87"/>
        <v>2</v>
      </c>
      <c r="Q86" s="345"/>
      <c r="R86" s="345"/>
      <c r="S86" s="345">
        <f t="shared" ca="1" si="88"/>
        <v>1</v>
      </c>
      <c r="T86" s="345"/>
      <c r="U86" s="345"/>
      <c r="V86" s="345">
        <f t="shared" ca="1" si="89"/>
        <v>0</v>
      </c>
      <c r="W86" s="344"/>
      <c r="X86" s="348">
        <f t="shared" ref="X86:X87" ca="1" si="95">SUM(D86:V86)</f>
        <v>6</v>
      </c>
    </row>
    <row r="87" spans="2:24" x14ac:dyDescent="0.25">
      <c r="B87" s="196">
        <f t="shared" si="91"/>
        <v>19</v>
      </c>
      <c r="C87" s="344"/>
      <c r="D87" s="345">
        <f t="shared" ca="1" si="83"/>
        <v>0</v>
      </c>
      <c r="E87" s="345"/>
      <c r="F87" s="345"/>
      <c r="G87" s="345">
        <f t="shared" ca="1" si="84"/>
        <v>1</v>
      </c>
      <c r="H87" s="345"/>
      <c r="I87" s="345"/>
      <c r="J87" s="345">
        <f t="shared" ca="1" si="85"/>
        <v>3</v>
      </c>
      <c r="K87" s="345"/>
      <c r="L87" s="345"/>
      <c r="M87" s="345">
        <f t="shared" ca="1" si="86"/>
        <v>2</v>
      </c>
      <c r="N87" s="345"/>
      <c r="O87" s="345"/>
      <c r="P87" s="345">
        <f t="shared" ca="1" si="87"/>
        <v>0</v>
      </c>
      <c r="Q87" s="345"/>
      <c r="R87" s="345"/>
      <c r="S87" s="345">
        <f t="shared" ca="1" si="88"/>
        <v>0</v>
      </c>
      <c r="T87" s="345"/>
      <c r="U87" s="345"/>
      <c r="V87" s="345">
        <f t="shared" ca="1" si="89"/>
        <v>0</v>
      </c>
      <c r="W87" s="344"/>
      <c r="X87" s="348">
        <f t="shared" ca="1" si="95"/>
        <v>6</v>
      </c>
    </row>
    <row r="88" spans="2:24" x14ac:dyDescent="0.25">
      <c r="B88" s="196">
        <f t="shared" si="91"/>
        <v>20</v>
      </c>
      <c r="C88" s="344"/>
      <c r="D88" s="345">
        <f t="shared" ref="D88:D89" ca="1" si="96">COUNTIF($C64:$T64,E$68)</f>
        <v>0</v>
      </c>
      <c r="E88" s="345"/>
      <c r="F88" s="345"/>
      <c r="G88" s="345">
        <f t="shared" ref="G88:G89" ca="1" si="97">COUNTIF($C64:$T64,H$68)</f>
        <v>0</v>
      </c>
      <c r="H88" s="345"/>
      <c r="I88" s="345"/>
      <c r="J88" s="345">
        <f t="shared" ref="J88:J89" ca="1" si="98">COUNTIF($C64:$T64,K$68)</f>
        <v>1</v>
      </c>
      <c r="K88" s="345"/>
      <c r="L88" s="345"/>
      <c r="M88" s="345">
        <f t="shared" ref="M88:M89" ca="1" si="99">COUNTIF($C64:$T64,N$68)</f>
        <v>1</v>
      </c>
      <c r="N88" s="345"/>
      <c r="O88" s="345"/>
      <c r="P88" s="345">
        <f t="shared" ref="P88:P89" ca="1" si="100">COUNTIF($C64:$T64,Q$68)</f>
        <v>2</v>
      </c>
      <c r="Q88" s="345"/>
      <c r="R88" s="345"/>
      <c r="S88" s="345">
        <f t="shared" ref="S88:S89" ca="1" si="101">COUNTIF($C64:$T64,T$68)</f>
        <v>0</v>
      </c>
      <c r="T88" s="345"/>
      <c r="U88" s="345"/>
      <c r="V88" s="345">
        <f t="shared" ref="V88:V89" ca="1" si="102">COUNTIF($C64:$T64,W$68)</f>
        <v>2</v>
      </c>
      <c r="W88" s="344"/>
      <c r="X88" s="348">
        <f t="shared" ref="X88:X89" ca="1" si="103">SUM(D88:V88)</f>
        <v>6</v>
      </c>
    </row>
    <row r="89" spans="2:24" x14ac:dyDescent="0.25">
      <c r="B89" s="196">
        <f t="shared" si="91"/>
        <v>21</v>
      </c>
      <c r="C89" s="344"/>
      <c r="D89" s="345">
        <f t="shared" ca="1" si="96"/>
        <v>0</v>
      </c>
      <c r="E89" s="345"/>
      <c r="F89" s="345"/>
      <c r="G89" s="345">
        <f t="shared" ca="1" si="97"/>
        <v>1</v>
      </c>
      <c r="H89" s="345"/>
      <c r="I89" s="345"/>
      <c r="J89" s="345">
        <f t="shared" ca="1" si="98"/>
        <v>1</v>
      </c>
      <c r="K89" s="345"/>
      <c r="L89" s="345"/>
      <c r="M89" s="345">
        <f t="shared" ca="1" si="99"/>
        <v>2</v>
      </c>
      <c r="N89" s="345"/>
      <c r="O89" s="345"/>
      <c r="P89" s="345">
        <f t="shared" ca="1" si="100"/>
        <v>1</v>
      </c>
      <c r="Q89" s="345"/>
      <c r="R89" s="345"/>
      <c r="S89" s="345">
        <f t="shared" ca="1" si="101"/>
        <v>0</v>
      </c>
      <c r="T89" s="345"/>
      <c r="U89" s="345"/>
      <c r="V89" s="345">
        <f t="shared" ca="1" si="102"/>
        <v>1</v>
      </c>
      <c r="W89" s="344"/>
      <c r="X89" s="348">
        <f t="shared" ca="1" si="103"/>
        <v>6</v>
      </c>
    </row>
    <row r="92" spans="2:24" x14ac:dyDescent="0.25">
      <c r="O92" s="78" t="s">
        <v>15</v>
      </c>
    </row>
  </sheetData>
  <mergeCells count="38">
    <mergeCell ref="BW3:BW10"/>
    <mergeCell ref="A3:A10"/>
    <mergeCell ref="BN2:BO2"/>
    <mergeCell ref="BY32:CD32"/>
    <mergeCell ref="AS2:AT2"/>
    <mergeCell ref="A13:A19"/>
    <mergeCell ref="A21:A27"/>
    <mergeCell ref="R2:S2"/>
    <mergeCell ref="BY14:CD14"/>
    <mergeCell ref="BY23:CD23"/>
    <mergeCell ref="U2:V2"/>
    <mergeCell ref="X2:Y2"/>
    <mergeCell ref="AA2:AB2"/>
    <mergeCell ref="AD2:AE2"/>
    <mergeCell ref="AG2:AH2"/>
    <mergeCell ref="AM2:AN2"/>
    <mergeCell ref="AP2:AQ2"/>
    <mergeCell ref="BQ2:BU2"/>
    <mergeCell ref="B32:B41"/>
    <mergeCell ref="C2:D2"/>
    <mergeCell ref="F2:G2"/>
    <mergeCell ref="I2:J2"/>
    <mergeCell ref="L2:M2"/>
    <mergeCell ref="O2:P2"/>
    <mergeCell ref="BR29:BU29"/>
    <mergeCell ref="AV2:AW2"/>
    <mergeCell ref="AY2:AZ2"/>
    <mergeCell ref="BB2:BC2"/>
    <mergeCell ref="BE2:BF2"/>
    <mergeCell ref="BH2:BI2"/>
    <mergeCell ref="BK2:BL2"/>
    <mergeCell ref="A31:A41"/>
    <mergeCell ref="R44:T44"/>
    <mergeCell ref="C44:E44"/>
    <mergeCell ref="F44:H44"/>
    <mergeCell ref="I44:K44"/>
    <mergeCell ref="L44:N44"/>
    <mergeCell ref="O44:Q44"/>
  </mergeCells>
  <phoneticPr fontId="18" type="noConversion"/>
  <conditionalFormatting sqref="BY3:CD9">
    <cfRule type="cellIs" dxfId="96" priority="148" operator="greaterThanOrEqual">
      <formula>6</formula>
    </cfRule>
    <cfRule type="cellIs" dxfId="95" priority="149" operator="equal">
      <formula>0</formula>
    </cfRule>
  </conditionalFormatting>
  <conditionalFormatting sqref="BX24:BX30">
    <cfRule type="cellIs" dxfId="94" priority="104" stopIfTrue="1" operator="equal">
      <formula>"Builder"</formula>
    </cfRule>
    <cfRule type="cellIs" dxfId="93" priority="105" stopIfTrue="1" operator="equal">
      <formula>"Agrarian"</formula>
    </cfRule>
    <cfRule type="cellIs" dxfId="92" priority="106" stopIfTrue="1" operator="equal">
      <formula>"Expansionist"</formula>
    </cfRule>
    <cfRule type="cellIs" dxfId="91" priority="107" stopIfTrue="1" operator="equal">
      <formula>"Militarist"</formula>
    </cfRule>
    <cfRule type="cellIs" dxfId="90" priority="108" stopIfTrue="1" operator="equal">
      <formula>"Aesthete"</formula>
    </cfRule>
    <cfRule type="cellIs" dxfId="89" priority="109" stopIfTrue="1" operator="equal">
      <formula>"Merchant"</formula>
    </cfRule>
    <cfRule type="cellIs" dxfId="88" priority="110" stopIfTrue="1" operator="equal">
      <formula>"Scientist"</formula>
    </cfRule>
  </conditionalFormatting>
  <conditionalFormatting sqref="BW24:BW30">
    <cfRule type="cellIs" dxfId="87" priority="97" stopIfTrue="1" operator="equal">
      <formula>"Builder"</formula>
    </cfRule>
    <cfRule type="cellIs" dxfId="86" priority="98" stopIfTrue="1" operator="equal">
      <formula>"Agrarian"</formula>
    </cfRule>
    <cfRule type="cellIs" dxfId="85" priority="99" stopIfTrue="1" operator="equal">
      <formula>"Expansionist"</formula>
    </cfRule>
    <cfRule type="cellIs" dxfId="84" priority="100" stopIfTrue="1" operator="equal">
      <formula>"Militarist"</formula>
    </cfRule>
    <cfRule type="cellIs" dxfId="83" priority="101" stopIfTrue="1" operator="equal">
      <formula>"Aesthete"</formula>
    </cfRule>
    <cfRule type="cellIs" dxfId="82" priority="102" stopIfTrue="1" operator="equal">
      <formula>"Merchant"</formula>
    </cfRule>
    <cfRule type="cellIs" dxfId="81" priority="103" stopIfTrue="1" operator="equal">
      <formula>"Scientist"</formula>
    </cfRule>
  </conditionalFormatting>
  <conditionalFormatting sqref="BX33:BX39">
    <cfRule type="cellIs" dxfId="80" priority="90" stopIfTrue="1" operator="equal">
      <formula>"Builder"</formula>
    </cfRule>
    <cfRule type="cellIs" dxfId="79" priority="91" stopIfTrue="1" operator="equal">
      <formula>"Agrarian"</formula>
    </cfRule>
    <cfRule type="cellIs" dxfId="78" priority="92" stopIfTrue="1" operator="equal">
      <formula>"Expansionist"</formula>
    </cfRule>
    <cfRule type="cellIs" dxfId="77" priority="93" stopIfTrue="1" operator="equal">
      <formula>"Militarist"</formula>
    </cfRule>
    <cfRule type="cellIs" dxfId="76" priority="94" stopIfTrue="1" operator="equal">
      <formula>"Aesthete"</formula>
    </cfRule>
    <cfRule type="cellIs" dxfId="75" priority="95" stopIfTrue="1" operator="equal">
      <formula>"Merchant"</formula>
    </cfRule>
    <cfRule type="cellIs" dxfId="74" priority="96" stopIfTrue="1" operator="equal">
      <formula>"Scientist"</formula>
    </cfRule>
  </conditionalFormatting>
  <conditionalFormatting sqref="BY15:CD21">
    <cfRule type="colorScale" priority="82">
      <colorScale>
        <cfvo type="min"/>
        <cfvo type="max"/>
        <color theme="9" tint="0.39997558519241921"/>
        <color theme="6" tint="0.59999389629810485"/>
      </colorScale>
    </cfRule>
  </conditionalFormatting>
  <conditionalFormatting sqref="BY24:CE30">
    <cfRule type="colorScale" priority="81">
      <colorScale>
        <cfvo type="min"/>
        <cfvo type="max"/>
        <color theme="9" tint="0.39997558519241921"/>
        <color theme="6" tint="0.59999389629810485"/>
      </colorScale>
    </cfRule>
  </conditionalFormatting>
  <conditionalFormatting sqref="BT42:BU48 BY33:CD39">
    <cfRule type="colorScale" priority="80">
      <colorScale>
        <cfvo type="min"/>
        <cfvo type="max"/>
        <color theme="9" tint="0.39997558519241921"/>
        <color theme="6" tint="0.59999389629810485"/>
      </colorScale>
    </cfRule>
  </conditionalFormatting>
  <conditionalFormatting sqref="BW15:BW21">
    <cfRule type="cellIs" dxfId="73" priority="73" stopIfTrue="1" operator="equal">
      <formula>"Builder"</formula>
    </cfRule>
    <cfRule type="cellIs" dxfId="72" priority="74" stopIfTrue="1" operator="equal">
      <formula>"Agrarian"</formula>
    </cfRule>
    <cfRule type="cellIs" dxfId="71" priority="75" stopIfTrue="1" operator="equal">
      <formula>"Expansionist"</formula>
    </cfRule>
    <cfRule type="cellIs" dxfId="70" priority="76" stopIfTrue="1" operator="equal">
      <formula>"Militarist"</formula>
    </cfRule>
    <cfRule type="cellIs" dxfId="69" priority="77" stopIfTrue="1" operator="equal">
      <formula>"Aesthete"</formula>
    </cfRule>
    <cfRule type="cellIs" dxfId="68" priority="78" stopIfTrue="1" operator="equal">
      <formula>"Merchant"</formula>
    </cfRule>
    <cfRule type="cellIs" dxfId="67" priority="79" stopIfTrue="1" operator="equal">
      <formula>"Scientist"</formula>
    </cfRule>
  </conditionalFormatting>
  <conditionalFormatting sqref="D69:V89">
    <cfRule type="cellIs" dxfId="66" priority="56" operator="equal">
      <formula>0</formula>
    </cfRule>
  </conditionalFormatting>
  <conditionalFormatting sqref="C69:V89">
    <cfRule type="cellIs" dxfId="65" priority="54" operator="greaterThanOrEqual">
      <formula>3</formula>
    </cfRule>
    <cfRule type="cellIs" dxfId="64" priority="55" operator="equal">
      <formula>2</formula>
    </cfRule>
  </conditionalFormatting>
  <conditionalFormatting sqref="CG18">
    <cfRule type="colorScale" priority="1">
      <colorScale>
        <cfvo type="min"/>
        <cfvo type="max"/>
        <color theme="9" tint="0.39997558519241921"/>
        <color theme="6" tint="0.59999389629810485"/>
      </colorScale>
    </cfRule>
  </conditionalFormatting>
  <dataValidations count="6">
    <dataValidation type="list" allowBlank="1" sqref="H18 E18 N18 W18 Q18 T18 Z18 AC18 AF18 AI18 AL18 AO18 BQ26 AR18 AU18 AX18 BA18 BD18 BG18 BJ18 BM18 BP18:BQ18" xr:uid="{B25CA8EF-395B-44BA-ABE4-D1842AD80FE5}">
      <formula1>CultureListIndustrial</formula1>
    </dataValidation>
    <dataValidation type="list" allowBlank="1" sqref="K16 E15 N15 W15 H15 Q15 T15 Z15 AC15 AF15 AI15 AL15 AO15 BQ23 AR15 AU15 AX15 BA15 BD15 BG15 BJ15 BM15 BP15:BQ15" xr:uid="{16F38F75-63D8-43BB-8516-1C6FE227567C}">
      <formula1>CultureListClassical</formula1>
    </dataValidation>
    <dataValidation type="list" allowBlank="1" sqref="K19 E19 N19 H19 W19 Q19 T19 Z19 AC19 AF19 AI19 AL19 AO19 BQ27 AR19 AU19 AX19 BA19 BD19 BG19 BJ19 BM19 BP19:BQ19" xr:uid="{DC93048B-8BBD-4B84-9C16-92405789EE4D}">
      <formula1>CultureListContemporary</formula1>
    </dataValidation>
    <dataValidation type="list" allowBlank="1" sqref="K17 E16 N16 W16 H16 Q16 T16 Z16 AC16 AF16 AI16 AL16 AO16 BQ24 AR16 AU16 AX16 BA16 BD16 BG16 BJ16 BM16 BP16:BQ16" xr:uid="{ADD55A7E-1D91-4B9F-9A7E-C0E493538F47}">
      <formula1>CultureListMedieval</formula1>
    </dataValidation>
    <dataValidation type="list" allowBlank="1" sqref="E14 H14 K15 N13:N14 Q14 T14 W14 Z14 AC14 AF14 AI14 AL14 AO14 AO22:AO27 H22:H27 AX22:AX27 E22:E27 K22:K27 N22:N27 Q22:Q27 T22:T27 W22:W27 Z22:Z27 AC22:AC27 AF22:AF27 AI22:AI27 AL22:AL27 BQ22 AR14 AR22:AR27 AU14 AU22:AU27 AX14 BA22:BA27 BA14 BD22:BD27 BD14 BG22:BG27 BG14 BJ22:BJ27 BJ14 BM22:BM27 BM14 BP14:BQ14 BP22:BP27" xr:uid="{E132860E-BF41-4D1B-B4AF-0F6F66298D7D}">
      <formula1>CultureListAncient</formula1>
    </dataValidation>
    <dataValidation type="list" allowBlank="1" sqref="K18 E17 N17 W17 H17 Q17 T17 Z17 AC17 AF17 AI17 AL17 AO17 BQ25 AR17 AU17 AX17 BA17 BD17 BG17 BJ17 BM17 BP17:BQ17" xr:uid="{4C01BED4-0A06-4331-BA41-C5BB4A52AC69}">
      <formula1>CultureListEarlyModern</formula1>
    </dataValidation>
  </dataValidations>
  <hyperlinks>
    <hyperlink ref="E30" r:id="rId1" xr:uid="{F1530697-10A2-4CF8-8BD7-AC75EB66AADF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63" stopIfTrue="1" operator="beginsWith" id="{60CD51BB-7D4E-4B50-BA51-FA9C25F07D62}">
            <xm:f>LEFT(BW3,LEN("Sci"))="Sci"</xm:f>
            <xm:f>"Sci"</xm:f>
            <x14:dxf>
              <font>
                <color auto="1"/>
              </font>
              <fill>
                <patternFill>
                  <bgColor rgb="FF00B0F0"/>
                </patternFill>
              </fill>
            </x14:dxf>
          </x14:cfRule>
          <xm:sqref>BW33:BW39 BW15:BX21 BW24:BW30 BX3:BX9</xm:sqref>
        </x14:conditionalFormatting>
        <x14:conditionalFormatting xmlns:xm="http://schemas.microsoft.com/office/excel/2006/main">
          <x14:cfRule type="beginsWith" priority="157" stopIfTrue="1" operator="beginsWith" id="{78CB0433-3B8D-4514-9D82-5CA73C35918D}">
            <xm:f>LEFT(BW3,LEN("Bui"))="Bui"</xm:f>
            <xm:f>"Bui"</xm:f>
            <x14:dxf>
              <font>
                <color auto="1"/>
              </font>
              <fill>
                <patternFill>
                  <bgColor theme="6"/>
                </patternFill>
              </fill>
            </x14:dxf>
          </x14:cfRule>
          <xm:sqref>BW33:BW39 BW15:BX21 BW24:BW30 BX3:BX9</xm:sqref>
        </x14:conditionalFormatting>
        <x14:conditionalFormatting xmlns:xm="http://schemas.microsoft.com/office/excel/2006/main">
          <x14:cfRule type="beginsWith" priority="158" stopIfTrue="1" operator="beginsWith" id="{3F7CD399-944E-491C-B218-FB98D2B2AF8C}">
            <xm:f>LEFT(BW3,LEN("Agr"))="Agr"</xm:f>
            <xm:f>"Agr"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m:sqref>BW33:BW39 BW24:BW30 BW15:BX21 BX3:BX9</xm:sqref>
        </x14:conditionalFormatting>
        <x14:conditionalFormatting xmlns:xm="http://schemas.microsoft.com/office/excel/2006/main">
          <x14:cfRule type="beginsWith" priority="159" stopIfTrue="1" operator="beginsWith" id="{038E6B8A-9211-4EBA-B16A-4F7E7856DE44}">
            <xm:f>LEFT(BW3,LEN("Exp"))="Exp"</xm:f>
            <xm:f>"Exp"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BW33:BW39 BW15:BX21 BW24:BW30 BX3:BX9</xm:sqref>
        </x14:conditionalFormatting>
        <x14:conditionalFormatting xmlns:xm="http://schemas.microsoft.com/office/excel/2006/main">
          <x14:cfRule type="beginsWith" priority="160" stopIfTrue="1" operator="beginsWith" id="{7E8EB0C3-0981-4811-A4D3-89E0F989C44E}">
            <xm:f>LEFT(BW3,LEN("Mil"))="Mil"</xm:f>
            <xm:f>"Mil"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BW33:BW39 BW15:BX21 BW24:BW30 BX3:BX9</xm:sqref>
        </x14:conditionalFormatting>
        <x14:conditionalFormatting xmlns:xm="http://schemas.microsoft.com/office/excel/2006/main">
          <x14:cfRule type="beginsWith" priority="162" stopIfTrue="1" operator="beginsWith" id="{CBFE3597-2E6D-4AC2-955E-2387D67682D2}">
            <xm:f>LEFT(BW3,LEN("Mer"))="Mer"</xm:f>
            <xm:f>"Mer"</xm:f>
            <x14:dxf>
              <font>
                <color auto="1"/>
              </font>
              <fill>
                <patternFill>
                  <bgColor theme="6" tint="0.59996337778862885"/>
                </patternFill>
              </fill>
            </x14:dxf>
          </x14:cfRule>
          <xm:sqref>BW33:BW39 BW15:BX21 BW24:BW30 BX3:BX9</xm:sqref>
        </x14:conditionalFormatting>
        <x14:conditionalFormatting xmlns:xm="http://schemas.microsoft.com/office/excel/2006/main">
          <x14:cfRule type="beginsWith" priority="161" stopIfTrue="1" operator="beginsWith" id="{598A0C1A-F77A-4A93-99E0-4FA6B752E77E}">
            <xm:f>LEFT(BW3,LEN("Aes"))="Aes"</xm:f>
            <xm:f>"Aes"</xm:f>
            <x14:dxf>
              <font>
                <color auto="1"/>
              </font>
              <fill>
                <patternFill>
                  <bgColor rgb="FFCC99FF"/>
                </patternFill>
              </fill>
            </x14:dxf>
          </x14:cfRule>
          <xm:sqref>BW33:BW39 BW15:BX21 BW24:BW30 BX3:BX9</xm:sqref>
        </x14:conditionalFormatting>
        <x14:conditionalFormatting xmlns:xm="http://schemas.microsoft.com/office/excel/2006/main">
          <x14:cfRule type="beginsWith" priority="150" stopIfTrue="1" operator="beginsWith" id="{44EF2577-791F-44FF-8D31-0D3FCD293690}">
            <xm:f>LEFT(C31,LEN("Bui"))="Bui"</xm:f>
            <xm:f>"Bui"</xm:f>
            <x14:dxf>
              <font>
                <color auto="1"/>
              </font>
              <fill>
                <patternFill>
                  <bgColor theme="6"/>
                </patternFill>
              </fill>
            </x14:dxf>
          </x14:cfRule>
          <x14:cfRule type="beginsWith" priority="151" stopIfTrue="1" operator="beginsWith" id="{9ED625D8-98F6-4591-93E9-F5E6C85A1071}">
            <xm:f>LEFT(C31,LEN("Agr"))="Agr"</xm:f>
            <xm:f>"Agr"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beginsWith" priority="152" stopIfTrue="1" operator="beginsWith" id="{C55FA4B1-3E37-42EF-9EBA-7C4221011A8C}">
            <xm:f>LEFT(C31,LEN("Exp"))="Exp"</xm:f>
            <xm:f>"Exp"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beginsWith" priority="153" stopIfTrue="1" operator="beginsWith" id="{C521DF0F-3099-49C4-AB2B-0EC6CF1836C2}">
            <xm:f>LEFT(C31,LEN("Mil"))="Mil"</xm:f>
            <xm:f>"Mil"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beginsWith" priority="154" stopIfTrue="1" operator="beginsWith" id="{EA8A1B2B-8F36-44A4-99FA-8D341135A576}">
            <xm:f>LEFT(C31,LEN("Aes"))="Aes"</xm:f>
            <xm:f>"Aes"</xm:f>
            <x14:dxf>
              <font>
                <color auto="1"/>
              </font>
              <fill>
                <patternFill>
                  <bgColor rgb="FFCC99FF"/>
                </patternFill>
              </fill>
            </x14:dxf>
          </x14:cfRule>
          <x14:cfRule type="beginsWith" priority="155" stopIfTrue="1" operator="beginsWith" id="{8E153ECC-AC25-4405-9F29-1FED7AE15C36}">
            <xm:f>LEFT(C31,LEN("Mer"))="Mer"</xm:f>
            <xm:f>"Mer"</xm:f>
            <x14:dxf>
              <font>
                <color auto="1"/>
              </font>
              <fill>
                <patternFill>
                  <bgColor theme="6" tint="0.59996337778862885"/>
                </patternFill>
              </fill>
            </x14:dxf>
          </x14:cfRule>
          <x14:cfRule type="beginsWith" priority="156" stopIfTrue="1" operator="beginsWith" id="{1815C9EC-1A03-4E6D-8FDD-945E56204FC2}">
            <xm:f>LEFT(C31,LEN("Sci"))="Sci"</xm:f>
            <xm:f>"Sci"</xm:f>
            <x14:dxf>
              <font>
                <color auto="1"/>
              </font>
              <fill>
                <patternFill>
                  <bgColor rgb="FF00B0F0"/>
                </patternFill>
              </fill>
            </x14:dxf>
          </x14:cfRule>
          <xm:sqref>BR31:BS39 C68 E68:F68 H68:I68 K68:L68 N68:O68 Q68:R68 T68:U68 W68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G999"/>
  <sheetViews>
    <sheetView workbookViewId="0">
      <pane ySplit="2" topLeftCell="A3" activePane="bottomLeft" state="frozen"/>
      <selection pane="bottomLeft" activeCell="K35" sqref="K35"/>
    </sheetView>
  </sheetViews>
  <sheetFormatPr baseColWidth="10" defaultColWidth="14.44140625" defaultRowHeight="15.75" customHeight="1" x14ac:dyDescent="0.25"/>
  <cols>
    <col min="1" max="1" width="3.44140625" customWidth="1"/>
    <col min="2" max="2" width="16" customWidth="1"/>
    <col min="3" max="3" width="4" customWidth="1"/>
    <col min="5" max="5" width="4.44140625" customWidth="1"/>
    <col min="6" max="6" width="17.21875" customWidth="1"/>
    <col min="7" max="7" width="19.6640625" customWidth="1"/>
    <col min="8" max="8" width="12" style="27" customWidth="1"/>
    <col min="9" max="9" width="3.44140625" customWidth="1"/>
    <col min="10" max="10" width="16" customWidth="1"/>
    <col min="11" max="11" width="10.21875" customWidth="1"/>
    <col min="12" max="12" width="9.6640625" customWidth="1"/>
    <col min="13" max="13" width="7.88671875" bestFit="1" customWidth="1"/>
    <col min="14" max="14" width="4.109375" customWidth="1"/>
    <col min="16" max="16" width="3.33203125" customWidth="1"/>
    <col min="17" max="17" width="20.109375" bestFit="1" customWidth="1"/>
    <col min="18" max="18" width="6.5546875" customWidth="1"/>
    <col min="19" max="19" width="53.44140625" bestFit="1" customWidth="1"/>
  </cols>
  <sheetData>
    <row r="1" spans="1:33" ht="13.8" thickBot="1" x14ac:dyDescent="0.3">
      <c r="A1" s="452" t="s">
        <v>686</v>
      </c>
      <c r="B1" s="1"/>
      <c r="C1" s="1"/>
      <c r="D1" s="1"/>
      <c r="E1" s="1"/>
      <c r="F1" s="1"/>
      <c r="G1" s="14"/>
      <c r="H1" s="26"/>
      <c r="I1" s="1"/>
      <c r="J1" s="1"/>
      <c r="K1" s="1"/>
      <c r="L1" s="1"/>
      <c r="M1" s="1"/>
      <c r="N1" s="1"/>
      <c r="O1" s="17"/>
      <c r="P1" s="17"/>
      <c r="Q1" s="97"/>
      <c r="R1" s="97"/>
      <c r="S1" s="96"/>
      <c r="T1" s="96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1.6" thickBot="1" x14ac:dyDescent="0.3">
      <c r="B2" s="68" t="s">
        <v>16</v>
      </c>
      <c r="C2" s="23"/>
      <c r="D2" s="68" t="s">
        <v>0</v>
      </c>
      <c r="E2" s="23"/>
      <c r="F2" s="45" t="s">
        <v>16</v>
      </c>
      <c r="G2" s="46" t="s">
        <v>17</v>
      </c>
      <c r="H2" s="47" t="s">
        <v>0</v>
      </c>
      <c r="I2" s="1"/>
      <c r="J2" s="45" t="s">
        <v>523</v>
      </c>
      <c r="K2" s="73" t="s">
        <v>255</v>
      </c>
      <c r="L2" s="73" t="s">
        <v>537</v>
      </c>
      <c r="M2" s="69" t="s">
        <v>535</v>
      </c>
      <c r="O2" s="68" t="s">
        <v>524</v>
      </c>
      <c r="P2" s="17"/>
      <c r="Q2" s="202"/>
      <c r="R2" s="607" t="s">
        <v>707</v>
      </c>
      <c r="S2" s="60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3.2" x14ac:dyDescent="0.25">
      <c r="B3" s="31" t="s">
        <v>254</v>
      </c>
      <c r="C3" s="17"/>
      <c r="D3" s="87" t="s">
        <v>8</v>
      </c>
      <c r="E3" s="1"/>
      <c r="F3" s="70" t="str">
        <f>_xlfn.XLOOKUP(G3,Cultures!D$4:D$63,Cultures!B$4:B$63)</f>
        <v>2 - Classical</v>
      </c>
      <c r="G3" s="118" t="s">
        <v>56</v>
      </c>
      <c r="H3" s="60" t="s">
        <v>10</v>
      </c>
      <c r="I3" s="1"/>
      <c r="J3" s="59" t="s">
        <v>273</v>
      </c>
      <c r="K3" s="54">
        <f t="shared" ref="K3:K22" si="0">COUNTIFS(UnitCulture, K$2, UnitListMainClass, J3)</f>
        <v>1</v>
      </c>
      <c r="L3" s="72">
        <f>M3-K3</f>
        <v>2</v>
      </c>
      <c r="M3" s="60">
        <f t="shared" ref="M3:M22" si="1">COUNTIF(UnitListMainClass,J3)</f>
        <v>3</v>
      </c>
      <c r="O3" s="28" t="s">
        <v>272</v>
      </c>
      <c r="P3" s="240"/>
      <c r="Q3" s="604" t="s">
        <v>569</v>
      </c>
      <c r="R3" s="232" t="s">
        <v>578</v>
      </c>
      <c r="S3" s="233" t="s">
        <v>588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3.2" x14ac:dyDescent="0.25">
      <c r="B4" s="82" t="s">
        <v>1</v>
      </c>
      <c r="C4" s="17"/>
      <c r="D4" s="87" t="s">
        <v>9</v>
      </c>
      <c r="E4" s="1"/>
      <c r="F4" s="70" t="str">
        <f>_xlfn.XLOOKUP(G4,Cultures!D$4:D$63,Cultures!B$4:B$63)</f>
        <v>2 - Classical</v>
      </c>
      <c r="G4" s="118" t="s">
        <v>60</v>
      </c>
      <c r="H4" s="60" t="s">
        <v>12</v>
      </c>
      <c r="I4" s="1"/>
      <c r="J4" s="61" t="s">
        <v>276</v>
      </c>
      <c r="K4" s="54">
        <f t="shared" si="0"/>
        <v>2</v>
      </c>
      <c r="L4" s="72">
        <f t="shared" ref="L4:L22" si="2">M4-K4</f>
        <v>7</v>
      </c>
      <c r="M4" s="60">
        <f t="shared" si="1"/>
        <v>9</v>
      </c>
      <c r="O4" s="29" t="s">
        <v>376</v>
      </c>
      <c r="P4" s="241"/>
      <c r="Q4" s="605"/>
      <c r="R4" s="225" t="s">
        <v>579</v>
      </c>
      <c r="S4" s="194" t="s">
        <v>589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3.8" thickBot="1" x14ac:dyDescent="0.3">
      <c r="B5" s="83" t="s">
        <v>2</v>
      </c>
      <c r="C5" s="17"/>
      <c r="D5" s="87" t="s">
        <v>10</v>
      </c>
      <c r="E5" s="1"/>
      <c r="F5" s="70" t="str">
        <f>_xlfn.XLOOKUP(G5,Cultures!D$4:D$63,Cultures!B$4:B$63)</f>
        <v>6 - Contemporary</v>
      </c>
      <c r="G5" s="118" t="s">
        <v>216</v>
      </c>
      <c r="H5" s="60" t="s">
        <v>10</v>
      </c>
      <c r="I5" s="1"/>
      <c r="J5" s="62" t="s">
        <v>283</v>
      </c>
      <c r="K5" s="54">
        <f t="shared" si="0"/>
        <v>2</v>
      </c>
      <c r="L5" s="72">
        <f t="shared" si="2"/>
        <v>3</v>
      </c>
      <c r="M5" s="60">
        <f t="shared" si="1"/>
        <v>5</v>
      </c>
      <c r="O5" s="30" t="s">
        <v>428</v>
      </c>
      <c r="P5" s="242"/>
      <c r="Q5" s="605"/>
      <c r="R5" s="225" t="s">
        <v>580</v>
      </c>
      <c r="S5" s="194" t="s">
        <v>590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3.2" customHeight="1" x14ac:dyDescent="0.25">
      <c r="B6" s="84" t="s">
        <v>3</v>
      </c>
      <c r="C6" s="17"/>
      <c r="D6" s="87" t="s">
        <v>11</v>
      </c>
      <c r="E6" s="1"/>
      <c r="F6" s="70" t="str">
        <f>_xlfn.XLOOKUP(G6,Cultures!D$4:D$63,Cultures!B$4:B$63)</f>
        <v>1 - Ancient</v>
      </c>
      <c r="G6" s="118" t="s">
        <v>27</v>
      </c>
      <c r="H6" s="60" t="s">
        <v>8</v>
      </c>
      <c r="I6" s="1"/>
      <c r="J6" s="63" t="s">
        <v>280</v>
      </c>
      <c r="K6" s="54">
        <f t="shared" si="0"/>
        <v>3</v>
      </c>
      <c r="L6" s="72">
        <f t="shared" si="2"/>
        <v>8</v>
      </c>
      <c r="M6" s="60">
        <f t="shared" si="1"/>
        <v>11</v>
      </c>
      <c r="O6" s="17"/>
      <c r="P6" s="17"/>
      <c r="Q6" s="605"/>
      <c r="R6" s="226" t="s">
        <v>581</v>
      </c>
      <c r="S6" s="194" t="s">
        <v>591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3.8" customHeight="1" x14ac:dyDescent="0.25">
      <c r="B7" s="85" t="s">
        <v>4</v>
      </c>
      <c r="C7" s="17"/>
      <c r="D7" s="87" t="s">
        <v>538</v>
      </c>
      <c r="E7" s="1"/>
      <c r="F7" s="70" t="str">
        <f>_xlfn.XLOOKUP(G7,Cultures!D$4:D$63,Cultures!B$4:B$63)</f>
        <v>1 - Ancient</v>
      </c>
      <c r="G7" s="118" t="s">
        <v>21</v>
      </c>
      <c r="H7" s="60" t="s">
        <v>10</v>
      </c>
      <c r="I7" s="1"/>
      <c r="J7" s="64" t="s">
        <v>291</v>
      </c>
      <c r="K7" s="54">
        <f t="shared" si="0"/>
        <v>3</v>
      </c>
      <c r="L7" s="72">
        <f t="shared" si="2"/>
        <v>4</v>
      </c>
      <c r="M7" s="60">
        <f t="shared" si="1"/>
        <v>7</v>
      </c>
      <c r="O7" s="17"/>
      <c r="P7" s="17"/>
      <c r="Q7" s="605"/>
      <c r="R7" s="226" t="s">
        <v>582</v>
      </c>
      <c r="S7" s="194" t="s">
        <v>592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3.8" thickBot="1" x14ac:dyDescent="0.3">
      <c r="B8" s="86" t="s">
        <v>5</v>
      </c>
      <c r="C8" s="17"/>
      <c r="D8" s="87" t="s">
        <v>12</v>
      </c>
      <c r="E8" s="1"/>
      <c r="F8" s="70" t="str">
        <f>_xlfn.XLOOKUP(G8,Cultures!D$4:D$63,Cultures!B$4:B$63)</f>
        <v>6 - Contemporary</v>
      </c>
      <c r="G8" s="118" t="s">
        <v>219</v>
      </c>
      <c r="H8" s="60" t="s">
        <v>8</v>
      </c>
      <c r="I8" s="1"/>
      <c r="J8" s="65" t="s">
        <v>287</v>
      </c>
      <c r="K8" s="54">
        <f t="shared" si="0"/>
        <v>7</v>
      </c>
      <c r="L8" s="72">
        <f t="shared" si="2"/>
        <v>8</v>
      </c>
      <c r="M8" s="60">
        <f t="shared" si="1"/>
        <v>15</v>
      </c>
      <c r="O8" s="17"/>
      <c r="P8" s="17"/>
      <c r="Q8" s="606"/>
      <c r="R8" s="229" t="s">
        <v>579</v>
      </c>
      <c r="S8" s="197" t="s">
        <v>593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3.8" thickBot="1" x14ac:dyDescent="0.3">
      <c r="B9" s="107" t="s">
        <v>6</v>
      </c>
      <c r="C9" s="17"/>
      <c r="D9" s="88" t="s">
        <v>13</v>
      </c>
      <c r="E9" s="1"/>
      <c r="F9" s="70" t="str">
        <f>_xlfn.XLOOKUP(G9,Cultures!D$4:D$63,Cultures!B$4:B$63)</f>
        <v>5 - Industrial</v>
      </c>
      <c r="G9" s="118" t="s">
        <v>176</v>
      </c>
      <c r="H9" s="60" t="s">
        <v>538</v>
      </c>
      <c r="I9" s="1"/>
      <c r="J9" s="66" t="s">
        <v>315</v>
      </c>
      <c r="K9" s="54">
        <f t="shared" si="0"/>
        <v>7</v>
      </c>
      <c r="L9" s="72">
        <f t="shared" si="2"/>
        <v>14</v>
      </c>
      <c r="M9" s="60">
        <f t="shared" si="1"/>
        <v>21</v>
      </c>
      <c r="O9" s="17"/>
      <c r="P9" s="17"/>
      <c r="Q9" s="604" t="s">
        <v>570</v>
      </c>
      <c r="R9" s="230" t="s">
        <v>583</v>
      </c>
      <c r="S9" s="231" t="s">
        <v>588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3.2" x14ac:dyDescent="0.25">
      <c r="B10" s="32"/>
      <c r="C10" s="1"/>
      <c r="D10" s="1"/>
      <c r="E10" s="1"/>
      <c r="F10" s="70" t="str">
        <f>_xlfn.XLOOKUP(G10,Cultures!D$4:D$63,Cultures!B$4:B$63)</f>
        <v>3 - Medieval</v>
      </c>
      <c r="G10" s="118" t="s">
        <v>96</v>
      </c>
      <c r="H10" s="60" t="s">
        <v>11</v>
      </c>
      <c r="I10" s="1"/>
      <c r="J10" s="59" t="s">
        <v>322</v>
      </c>
      <c r="K10" s="54">
        <f t="shared" si="0"/>
        <v>4</v>
      </c>
      <c r="L10" s="72">
        <f t="shared" si="2"/>
        <v>2</v>
      </c>
      <c r="M10" s="60">
        <f t="shared" si="1"/>
        <v>6</v>
      </c>
      <c r="O10" s="17"/>
      <c r="P10" s="17"/>
      <c r="Q10" s="605"/>
      <c r="R10" s="225" t="s">
        <v>584</v>
      </c>
      <c r="S10" s="194" t="s">
        <v>589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3.2" x14ac:dyDescent="0.25">
      <c r="B11" s="1"/>
      <c r="C11" s="1"/>
      <c r="D11" s="1"/>
      <c r="E11" s="1"/>
      <c r="F11" s="70" t="str">
        <f>_xlfn.XLOOKUP(G11,Cultures!D$4:D$63,Cultures!B$4:B$63)</f>
        <v>1 - Ancient</v>
      </c>
      <c r="G11" s="118" t="s">
        <v>24</v>
      </c>
      <c r="H11" s="60" t="s">
        <v>13</v>
      </c>
      <c r="I11" s="1"/>
      <c r="J11" s="59" t="s">
        <v>351</v>
      </c>
      <c r="K11" s="54">
        <f t="shared" si="0"/>
        <v>4</v>
      </c>
      <c r="L11" s="72">
        <f t="shared" si="2"/>
        <v>2</v>
      </c>
      <c r="M11" s="60">
        <f t="shared" si="1"/>
        <v>6</v>
      </c>
      <c r="O11" s="17"/>
      <c r="P11" s="17"/>
      <c r="Q11" s="605"/>
      <c r="R11" s="225" t="s">
        <v>585</v>
      </c>
      <c r="S11" s="194" t="s">
        <v>590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3.2" x14ac:dyDescent="0.25">
      <c r="E12" s="1"/>
      <c r="F12" s="70" t="str">
        <f>_xlfn.XLOOKUP(G12,Cultures!D$4:D$63,Cultures!B$4:B$63)</f>
        <v>6 - Contemporary</v>
      </c>
      <c r="G12" s="118" t="s">
        <v>223</v>
      </c>
      <c r="H12" s="60" t="s">
        <v>9</v>
      </c>
      <c r="I12" s="1"/>
      <c r="J12" s="59" t="s">
        <v>366</v>
      </c>
      <c r="K12" s="54">
        <f t="shared" si="0"/>
        <v>1</v>
      </c>
      <c r="L12" s="72">
        <f t="shared" si="2"/>
        <v>0</v>
      </c>
      <c r="M12" s="60">
        <f t="shared" si="1"/>
        <v>1</v>
      </c>
      <c r="O12" s="17"/>
      <c r="P12" s="17"/>
      <c r="Q12" s="605"/>
      <c r="R12" s="226" t="s">
        <v>586</v>
      </c>
      <c r="S12" s="194" t="s">
        <v>591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3.2" x14ac:dyDescent="0.25">
      <c r="E13" s="1"/>
      <c r="F13" s="70" t="str">
        <f>_xlfn.XLOOKUP(G13,Cultures!D$4:D$63,Cultures!B$4:B$63)</f>
        <v>5 - Industrial</v>
      </c>
      <c r="G13" s="118" t="s">
        <v>180</v>
      </c>
      <c r="H13" s="60" t="s">
        <v>10</v>
      </c>
      <c r="I13" s="1"/>
      <c r="J13" s="59" t="s">
        <v>377</v>
      </c>
      <c r="K13" s="54">
        <f t="shared" si="0"/>
        <v>4</v>
      </c>
      <c r="L13" s="72">
        <f t="shared" si="2"/>
        <v>1</v>
      </c>
      <c r="M13" s="60">
        <f t="shared" si="1"/>
        <v>5</v>
      </c>
      <c r="O13" s="17"/>
      <c r="P13" s="17"/>
      <c r="Q13" s="605"/>
      <c r="R13" s="226" t="s">
        <v>587</v>
      </c>
      <c r="S13" s="194" t="s">
        <v>592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3.8" thickBot="1" x14ac:dyDescent="0.3">
      <c r="E14" s="1"/>
      <c r="F14" s="70" t="str">
        <f>_xlfn.XLOOKUP(G14,Cultures!D$4:D$63,Cultures!B$4:B$63)</f>
        <v>3 - Medieval</v>
      </c>
      <c r="G14" s="118" t="s">
        <v>100</v>
      </c>
      <c r="H14" s="60" t="s">
        <v>12</v>
      </c>
      <c r="I14" s="1"/>
      <c r="J14" s="59" t="s">
        <v>384</v>
      </c>
      <c r="K14" s="54">
        <f t="shared" si="0"/>
        <v>3</v>
      </c>
      <c r="L14" s="72">
        <f t="shared" si="2"/>
        <v>2</v>
      </c>
      <c r="M14" s="60">
        <f t="shared" si="1"/>
        <v>5</v>
      </c>
      <c r="O14" s="17"/>
      <c r="P14" s="17"/>
      <c r="Q14" s="606"/>
      <c r="R14" s="234" t="s">
        <v>584</v>
      </c>
      <c r="S14" s="235" t="s">
        <v>593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3.8" thickBot="1" x14ac:dyDescent="0.3">
      <c r="E15" s="1"/>
      <c r="F15" s="70" t="str">
        <f>_xlfn.XLOOKUP(G15,Cultures!D$4:D$63,Cultures!B$4:B$63)</f>
        <v>2 - Classical</v>
      </c>
      <c r="G15" s="118" t="s">
        <v>64</v>
      </c>
      <c r="H15" s="60" t="s">
        <v>12</v>
      </c>
      <c r="I15" s="1"/>
      <c r="J15" s="59" t="s">
        <v>393</v>
      </c>
      <c r="K15" s="54">
        <f t="shared" si="0"/>
        <v>3</v>
      </c>
      <c r="L15" s="72">
        <f t="shared" si="2"/>
        <v>2</v>
      </c>
      <c r="M15" s="60">
        <f t="shared" si="1"/>
        <v>5</v>
      </c>
      <c r="O15" s="17"/>
      <c r="P15" s="17"/>
      <c r="Q15" s="236" t="s">
        <v>571</v>
      </c>
      <c r="R15" s="237"/>
      <c r="S15" s="238" t="s">
        <v>572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3.2" customHeight="1" x14ac:dyDescent="0.25">
      <c r="E16" s="1"/>
      <c r="F16" s="70" t="str">
        <f>_xlfn.XLOOKUP(G16,Cultures!D$4:D$63,Cultures!B$4:B$63)</f>
        <v>2 - Classical</v>
      </c>
      <c r="G16" s="118" t="s">
        <v>68</v>
      </c>
      <c r="H16" s="60" t="s">
        <v>9</v>
      </c>
      <c r="I16" s="1"/>
      <c r="J16" s="59" t="s">
        <v>402</v>
      </c>
      <c r="K16" s="54">
        <f t="shared" si="0"/>
        <v>3</v>
      </c>
      <c r="L16" s="72">
        <f t="shared" si="2"/>
        <v>1</v>
      </c>
      <c r="M16" s="60">
        <f t="shared" si="1"/>
        <v>4</v>
      </c>
      <c r="O16" s="17"/>
      <c r="P16" s="17"/>
      <c r="Q16" s="609" t="s">
        <v>573</v>
      </c>
      <c r="R16" s="230" t="s">
        <v>594</v>
      </c>
      <c r="S16" s="231" t="s">
        <v>601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5:33" ht="13.2" x14ac:dyDescent="0.25">
      <c r="E17" s="1"/>
      <c r="F17" s="70" t="str">
        <f>_xlfn.XLOOKUP(G17,Cultures!D$4:D$63,Cultures!B$4:B$63)</f>
        <v>6 - Contemporary</v>
      </c>
      <c r="G17" s="118" t="s">
        <v>227</v>
      </c>
      <c r="H17" s="60" t="s">
        <v>12</v>
      </c>
      <c r="I17" s="1"/>
      <c r="J17" s="59" t="s">
        <v>409</v>
      </c>
      <c r="K17" s="54">
        <f t="shared" si="0"/>
        <v>2</v>
      </c>
      <c r="L17" s="72">
        <f t="shared" si="2"/>
        <v>1</v>
      </c>
      <c r="M17" s="60">
        <f t="shared" si="1"/>
        <v>3</v>
      </c>
      <c r="O17" s="17"/>
      <c r="P17" s="17"/>
      <c r="Q17" s="610"/>
      <c r="R17" s="225" t="s">
        <v>583</v>
      </c>
      <c r="S17" s="194" t="s">
        <v>602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5:33" ht="13.2" x14ac:dyDescent="0.25">
      <c r="E18" s="1"/>
      <c r="F18" s="70" t="str">
        <f>_xlfn.XLOOKUP(G18,Cultures!D$4:D$63,Cultures!B$4:B$63)</f>
        <v>4 - Early Modern</v>
      </c>
      <c r="G18" s="118" t="s">
        <v>136</v>
      </c>
      <c r="H18" s="60" t="s">
        <v>12</v>
      </c>
      <c r="I18" s="1"/>
      <c r="J18" s="59" t="s">
        <v>412</v>
      </c>
      <c r="K18" s="54">
        <f t="shared" si="0"/>
        <v>1</v>
      </c>
      <c r="L18" s="72">
        <f t="shared" si="2"/>
        <v>0</v>
      </c>
      <c r="M18" s="60">
        <f t="shared" si="1"/>
        <v>1</v>
      </c>
      <c r="O18" s="17"/>
      <c r="P18" s="17"/>
      <c r="Q18" s="610"/>
      <c r="R18" s="225" t="s">
        <v>596</v>
      </c>
      <c r="S18" s="194" t="s">
        <v>603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5:33" ht="13.2" x14ac:dyDescent="0.25">
      <c r="E19" s="1"/>
      <c r="F19" s="70" t="str">
        <f>_xlfn.XLOOKUP(G19,Cultures!D$4:D$63,Cultures!B$4:B$63)</f>
        <v>4 - Early Modern</v>
      </c>
      <c r="G19" s="118" t="s">
        <v>140</v>
      </c>
      <c r="H19" s="60" t="s">
        <v>538</v>
      </c>
      <c r="I19" s="1"/>
      <c r="J19" s="59" t="s">
        <v>429</v>
      </c>
      <c r="K19" s="54">
        <f t="shared" si="0"/>
        <v>2</v>
      </c>
      <c r="L19" s="72">
        <f t="shared" si="2"/>
        <v>1</v>
      </c>
      <c r="M19" s="60">
        <f t="shared" si="1"/>
        <v>3</v>
      </c>
      <c r="O19" s="17"/>
      <c r="P19" s="17"/>
      <c r="Q19" s="610"/>
      <c r="R19" s="226" t="s">
        <v>597</v>
      </c>
      <c r="S19" s="194" t="s">
        <v>604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5:33" ht="13.2" x14ac:dyDescent="0.25">
      <c r="E20" s="1"/>
      <c r="F20" s="70" t="str">
        <f>_xlfn.XLOOKUP(G20,Cultures!D$4:D$63,Cultures!B$4:B$63)</f>
        <v>6 - Contemporary</v>
      </c>
      <c r="G20" s="118" t="s">
        <v>231</v>
      </c>
      <c r="H20" s="60" t="s">
        <v>538</v>
      </c>
      <c r="I20" s="1"/>
      <c r="J20" s="59" t="s">
        <v>433</v>
      </c>
      <c r="K20" s="54">
        <f t="shared" si="0"/>
        <v>3</v>
      </c>
      <c r="L20" s="72">
        <f t="shared" si="2"/>
        <v>1</v>
      </c>
      <c r="M20" s="60">
        <f t="shared" si="1"/>
        <v>4</v>
      </c>
      <c r="O20" s="17"/>
      <c r="P20" s="17"/>
      <c r="Q20" s="610"/>
      <c r="R20" s="226" t="s">
        <v>598</v>
      </c>
      <c r="S20" s="194" t="s">
        <v>605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5:33" ht="13.2" x14ac:dyDescent="0.25">
      <c r="E21" s="1"/>
      <c r="F21" s="70" t="str">
        <f>_xlfn.XLOOKUP(G21,Cultures!D$4:D$63,Cultures!B$4:B$63)</f>
        <v>3 - Medieval</v>
      </c>
      <c r="G21" s="118" t="s">
        <v>104</v>
      </c>
      <c r="H21" s="60" t="s">
        <v>9</v>
      </c>
      <c r="I21" s="1"/>
      <c r="J21" s="59" t="s">
        <v>440</v>
      </c>
      <c r="K21" s="54">
        <f t="shared" si="0"/>
        <v>1</v>
      </c>
      <c r="L21" s="72">
        <f t="shared" si="2"/>
        <v>1</v>
      </c>
      <c r="M21" s="60">
        <f t="shared" si="1"/>
        <v>2</v>
      </c>
      <c r="O21" s="17"/>
      <c r="P21" s="17"/>
      <c r="Q21" s="610"/>
      <c r="R21" s="226" t="s">
        <v>595</v>
      </c>
      <c r="S21" s="194" t="s">
        <v>606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5:33" ht="13.2" x14ac:dyDescent="0.25">
      <c r="E22" s="1"/>
      <c r="F22" s="70" t="str">
        <f>_xlfn.XLOOKUP(G22,Cultures!D$4:D$63,Cultures!B$4:B$63)</f>
        <v>3 - Medieval</v>
      </c>
      <c r="G22" s="118" t="s">
        <v>108</v>
      </c>
      <c r="H22" s="60" t="s">
        <v>538</v>
      </c>
      <c r="I22" s="1"/>
      <c r="J22" s="59" t="s">
        <v>448</v>
      </c>
      <c r="K22" s="54">
        <f t="shared" si="0"/>
        <v>1</v>
      </c>
      <c r="L22" s="72">
        <f t="shared" si="2"/>
        <v>0</v>
      </c>
      <c r="M22" s="60">
        <f t="shared" si="1"/>
        <v>1</v>
      </c>
      <c r="O22" s="17"/>
      <c r="P22" s="17"/>
      <c r="Q22" s="610"/>
      <c r="R22" s="225" t="s">
        <v>599</v>
      </c>
      <c r="S22" s="194" t="s">
        <v>607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5:33" ht="13.8" thickBot="1" x14ac:dyDescent="0.3">
      <c r="E23" s="1"/>
      <c r="F23" s="70" t="str">
        <f>_xlfn.XLOOKUP(G23,Cultures!D$4:D$63,Cultures!B$4:B$63)</f>
        <v>5 - Industrial</v>
      </c>
      <c r="G23" s="118" t="s">
        <v>184</v>
      </c>
      <c r="H23" s="60" t="s">
        <v>13</v>
      </c>
      <c r="I23" s="1"/>
      <c r="J23" s="67" t="s">
        <v>536</v>
      </c>
      <c r="K23" s="74">
        <f>SUM(K3:K22)</f>
        <v>57</v>
      </c>
      <c r="L23" s="74">
        <f>SUM(L3:L22)</f>
        <v>60</v>
      </c>
      <c r="M23" s="75">
        <f>SUM(M3:M22)</f>
        <v>117</v>
      </c>
      <c r="N23" s="1"/>
      <c r="O23" s="17"/>
      <c r="P23" s="17"/>
      <c r="Q23" s="611"/>
      <c r="R23" s="239" t="s">
        <v>600</v>
      </c>
      <c r="S23" s="235" t="s">
        <v>608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5:33" ht="13.2" x14ac:dyDescent="0.25">
      <c r="E24" s="1"/>
      <c r="F24" s="70" t="str">
        <f>_xlfn.XLOOKUP(G24,Cultures!D$4:D$63,Cultures!B$4:B$63)</f>
        <v>5 - Industrial</v>
      </c>
      <c r="G24" s="118" t="s">
        <v>188</v>
      </c>
      <c r="H24" s="60" t="s">
        <v>11</v>
      </c>
      <c r="I24" s="1"/>
      <c r="J24" s="1"/>
      <c r="K24" s="1"/>
      <c r="L24" s="1"/>
      <c r="M24" s="1"/>
      <c r="N24" s="1"/>
      <c r="O24" s="17"/>
      <c r="P24" s="17"/>
      <c r="Q24" s="604" t="s">
        <v>574</v>
      </c>
      <c r="R24" s="232" t="s">
        <v>583</v>
      </c>
      <c r="S24" s="233" t="s">
        <v>601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5:33" ht="13.2" x14ac:dyDescent="0.25">
      <c r="E25" s="1"/>
      <c r="F25" s="70" t="str">
        <f>_xlfn.XLOOKUP(G25,Cultures!D$4:D$63,Cultures!B$4:B$63)</f>
        <v>3 - Medieval</v>
      </c>
      <c r="G25" s="118" t="s">
        <v>112</v>
      </c>
      <c r="H25" s="60" t="s">
        <v>12</v>
      </c>
      <c r="I25" s="1"/>
      <c r="J25" s="1"/>
      <c r="K25" s="1"/>
      <c r="L25" s="1"/>
      <c r="M25" s="1"/>
      <c r="N25" s="1"/>
      <c r="O25" s="17"/>
      <c r="P25" s="17"/>
      <c r="Q25" s="605"/>
      <c r="R25" s="225" t="s">
        <v>599</v>
      </c>
      <c r="S25" s="194" t="s">
        <v>602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5:33" ht="13.2" x14ac:dyDescent="0.25">
      <c r="E26" s="1"/>
      <c r="F26" s="70" t="str">
        <f>_xlfn.XLOOKUP(G26,Cultures!D$4:D$63,Cultures!B$4:B$63)</f>
        <v>2 - Classical</v>
      </c>
      <c r="G26" s="118" t="s">
        <v>72</v>
      </c>
      <c r="H26" s="60" t="s">
        <v>11</v>
      </c>
      <c r="I26" s="1"/>
      <c r="J26" s="1"/>
      <c r="K26" s="1"/>
      <c r="L26" s="1"/>
      <c r="M26" s="1"/>
      <c r="N26" s="1"/>
      <c r="O26" s="1"/>
      <c r="P26" s="1"/>
      <c r="Q26" s="605"/>
      <c r="R26" s="225" t="s">
        <v>609</v>
      </c>
      <c r="S26" s="194" t="s">
        <v>603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5:33" ht="13.2" x14ac:dyDescent="0.25">
      <c r="E27" s="1"/>
      <c r="F27" s="70" t="str">
        <f>_xlfn.XLOOKUP(G27,Cultures!D$4:D$63,Cultures!B$4:B$63)</f>
        <v>2 - Classical</v>
      </c>
      <c r="G27" s="118" t="s">
        <v>76</v>
      </c>
      <c r="H27" s="60" t="s">
        <v>13</v>
      </c>
      <c r="I27" s="1"/>
      <c r="J27" s="1"/>
      <c r="K27" s="1"/>
      <c r="L27" s="1"/>
      <c r="M27" s="1"/>
      <c r="N27" s="1"/>
      <c r="O27" s="1"/>
      <c r="P27" s="1"/>
      <c r="Q27" s="605"/>
      <c r="R27" s="226" t="s">
        <v>595</v>
      </c>
      <c r="S27" s="194" t="s">
        <v>604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5:33" ht="13.2" x14ac:dyDescent="0.25">
      <c r="E28" s="1"/>
      <c r="F28" s="70" t="str">
        <f>_xlfn.XLOOKUP(G28,Cultures!D$4:D$63,Cultures!B$4:B$63)</f>
        <v>1 - Ancient</v>
      </c>
      <c r="G28" s="118" t="s">
        <v>30</v>
      </c>
      <c r="H28" s="60" t="s">
        <v>9</v>
      </c>
      <c r="I28" s="1"/>
      <c r="J28" s="1"/>
      <c r="K28" s="1"/>
      <c r="L28" s="1"/>
      <c r="M28" s="1"/>
      <c r="N28" s="1"/>
      <c r="O28" s="1"/>
      <c r="P28" s="1"/>
      <c r="Q28" s="605"/>
      <c r="R28" s="226" t="s">
        <v>610</v>
      </c>
      <c r="S28" s="194" t="s">
        <v>605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5:33" ht="13.2" x14ac:dyDescent="0.25">
      <c r="E29" s="1"/>
      <c r="F29" s="70" t="str">
        <f>_xlfn.XLOOKUP(G29,Cultures!D$4:D$63,Cultures!B$4:B$63)</f>
        <v>4 - Early Modern</v>
      </c>
      <c r="G29" s="118" t="s">
        <v>144</v>
      </c>
      <c r="H29" s="60" t="s">
        <v>9</v>
      </c>
      <c r="I29" s="1"/>
      <c r="J29" s="1"/>
      <c r="K29" s="1"/>
      <c r="L29" s="1"/>
      <c r="M29" s="1"/>
      <c r="N29" s="1"/>
      <c r="O29" s="1"/>
      <c r="P29" s="1"/>
      <c r="Q29" s="605"/>
      <c r="R29" s="226" t="s">
        <v>611</v>
      </c>
      <c r="S29" s="194" t="s">
        <v>606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5:33" ht="13.2" x14ac:dyDescent="0.25">
      <c r="E30" s="1"/>
      <c r="F30" s="70" t="str">
        <f>_xlfn.XLOOKUP(G30,Cultures!D$4:D$63,Cultures!B$4:B$63)</f>
        <v>1 - Ancient</v>
      </c>
      <c r="G30" s="118" t="s">
        <v>33</v>
      </c>
      <c r="H30" s="60" t="s">
        <v>11</v>
      </c>
      <c r="I30" s="1"/>
      <c r="J30" s="1"/>
      <c r="K30" s="1"/>
      <c r="L30" s="1"/>
      <c r="M30" s="1"/>
      <c r="N30" s="1"/>
      <c r="O30" s="1"/>
      <c r="P30" s="1"/>
      <c r="Q30" s="605"/>
      <c r="R30" s="225" t="s">
        <v>612</v>
      </c>
      <c r="S30" s="194" t="s">
        <v>607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5:33" ht="13.2" x14ac:dyDescent="0.25">
      <c r="E31" s="1"/>
      <c r="F31" s="70" t="str">
        <f>_xlfn.XLOOKUP(G31,Cultures!D$4:D$63,Cultures!B$4:B$63)</f>
        <v>2 - Classical</v>
      </c>
      <c r="G31" s="118" t="s">
        <v>80</v>
      </c>
      <c r="H31" s="60" t="s">
        <v>11</v>
      </c>
      <c r="I31" s="1"/>
      <c r="J31" s="1"/>
      <c r="K31" s="1"/>
      <c r="L31" s="1"/>
      <c r="M31" s="1"/>
      <c r="N31" s="1"/>
      <c r="O31" s="1"/>
      <c r="P31" s="1"/>
      <c r="Q31" s="605"/>
      <c r="R31" s="225" t="s">
        <v>612</v>
      </c>
      <c r="S31" s="194" t="s">
        <v>608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5:33" ht="13.2" x14ac:dyDescent="0.25">
      <c r="E32" s="1"/>
      <c r="F32" s="70" t="str">
        <f>_xlfn.XLOOKUP(G32,Cultures!D$4:D$63,Cultures!B$4:B$63)</f>
        <v>6 - Contemporary</v>
      </c>
      <c r="G32" s="118" t="s">
        <v>235</v>
      </c>
      <c r="H32" s="60" t="s">
        <v>538</v>
      </c>
      <c r="I32" s="1"/>
      <c r="J32" s="1"/>
      <c r="K32" s="1"/>
      <c r="L32" s="1"/>
      <c r="M32" s="1"/>
      <c r="N32" s="1"/>
      <c r="O32" s="1"/>
      <c r="P32" s="1"/>
      <c r="Q32" s="605"/>
      <c r="R32" s="226" t="s">
        <v>595</v>
      </c>
      <c r="S32" s="194" t="s">
        <v>590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2:33" ht="13.8" thickBot="1" x14ac:dyDescent="0.3">
      <c r="B33" s="1"/>
      <c r="C33" s="1"/>
      <c r="E33" s="1"/>
      <c r="F33" s="70" t="str">
        <f>_xlfn.XLOOKUP(G33,Cultures!D$4:D$63,Cultures!B$4:B$63)</f>
        <v>5 - Industrial</v>
      </c>
      <c r="G33" s="118" t="s">
        <v>192</v>
      </c>
      <c r="H33" s="60" t="s">
        <v>10</v>
      </c>
      <c r="I33" s="1"/>
      <c r="J33" s="1"/>
      <c r="K33" s="1"/>
      <c r="L33" s="1"/>
      <c r="M33" s="1"/>
      <c r="N33" s="1"/>
      <c r="O33" s="1"/>
      <c r="P33" s="1"/>
      <c r="Q33" s="606"/>
      <c r="R33" s="229" t="s">
        <v>587</v>
      </c>
      <c r="S33" s="197" t="s">
        <v>613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2:33" ht="13.2" x14ac:dyDescent="0.25">
      <c r="B34" s="1"/>
      <c r="C34" s="1"/>
      <c r="D34" s="1"/>
      <c r="E34" s="1"/>
      <c r="F34" s="70" t="str">
        <f>_xlfn.XLOOKUP(G34,Cultures!D$4:D$63,Cultures!B$4:B$63)</f>
        <v>6 - Contemporary</v>
      </c>
      <c r="G34" s="118" t="s">
        <v>239</v>
      </c>
      <c r="H34" s="60" t="s">
        <v>13</v>
      </c>
      <c r="I34" s="1"/>
      <c r="J34" s="1"/>
      <c r="K34" s="1"/>
      <c r="L34" s="1"/>
      <c r="M34" s="1"/>
      <c r="N34" s="1"/>
      <c r="O34" s="1"/>
      <c r="P34" s="1"/>
      <c r="Q34" s="604" t="s">
        <v>575</v>
      </c>
      <c r="R34" s="230" t="s">
        <v>599</v>
      </c>
      <c r="S34" s="231" t="s">
        <v>601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2:33" ht="13.2" x14ac:dyDescent="0.25">
      <c r="B35" s="1"/>
      <c r="C35" s="1"/>
      <c r="D35" s="1"/>
      <c r="E35" s="1"/>
      <c r="F35" s="70" t="str">
        <f>_xlfn.XLOOKUP(G35,Cultures!D$4:D$63,Cultures!B$4:B$63)</f>
        <v>4 - Early Modern</v>
      </c>
      <c r="G35" s="118" t="s">
        <v>148</v>
      </c>
      <c r="H35" s="60" t="s">
        <v>13</v>
      </c>
      <c r="I35" s="1"/>
      <c r="J35" s="1"/>
      <c r="K35" s="1"/>
      <c r="L35" s="1"/>
      <c r="M35" s="1"/>
      <c r="N35" s="1"/>
      <c r="O35" s="1"/>
      <c r="P35" s="1"/>
      <c r="Q35" s="605"/>
      <c r="R35" s="225" t="s">
        <v>584</v>
      </c>
      <c r="S35" s="194" t="s">
        <v>602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2:33" ht="13.2" x14ac:dyDescent="0.25">
      <c r="B36" s="1"/>
      <c r="C36" s="1"/>
      <c r="D36" s="1"/>
      <c r="E36" s="1"/>
      <c r="F36" s="70" t="str">
        <f>_xlfn.XLOOKUP(G36,Cultures!D$4:D$63,Cultures!B$4:B$63)</f>
        <v>3 - Medieval</v>
      </c>
      <c r="G36" s="118" t="s">
        <v>116</v>
      </c>
      <c r="H36" s="60" t="s">
        <v>8</v>
      </c>
      <c r="I36" s="1"/>
      <c r="J36" s="1"/>
      <c r="K36" s="1"/>
      <c r="L36" s="1"/>
      <c r="M36" s="1"/>
      <c r="N36" s="1"/>
      <c r="O36" s="1"/>
      <c r="P36" s="1"/>
      <c r="Q36" s="605"/>
      <c r="R36" s="225" t="s">
        <v>614</v>
      </c>
      <c r="S36" s="194" t="s">
        <v>603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2:33" ht="13.2" x14ac:dyDescent="0.25">
      <c r="B37" s="1"/>
      <c r="C37" s="1"/>
      <c r="D37" s="1"/>
      <c r="E37" s="1"/>
      <c r="F37" s="70" t="str">
        <f>_xlfn.XLOOKUP(G37,Cultures!D$4:D$63,Cultures!B$4:B$63)</f>
        <v>2 - Classical</v>
      </c>
      <c r="G37" s="118" t="s">
        <v>84</v>
      </c>
      <c r="H37" s="60" t="s">
        <v>538</v>
      </c>
      <c r="I37" s="1"/>
      <c r="J37" s="1"/>
      <c r="K37" s="1"/>
      <c r="L37" s="1"/>
      <c r="M37" s="1"/>
      <c r="N37" s="1"/>
      <c r="O37" s="1"/>
      <c r="P37" s="1"/>
      <c r="Q37" s="605"/>
      <c r="R37" s="226" t="s">
        <v>615</v>
      </c>
      <c r="S37" s="194" t="s">
        <v>604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2:33" ht="13.2" x14ac:dyDescent="0.25">
      <c r="B38" s="1"/>
      <c r="C38" s="1"/>
      <c r="D38" s="1"/>
      <c r="E38" s="1"/>
      <c r="F38" s="70" t="str">
        <f>_xlfn.XLOOKUP(G38,Cultures!D$4:D$63,Cultures!B$4:B$63)</f>
        <v>2 - Classical</v>
      </c>
      <c r="G38" s="118" t="s">
        <v>88</v>
      </c>
      <c r="H38" s="60" t="s">
        <v>8</v>
      </c>
      <c r="I38" s="1"/>
      <c r="J38" s="1"/>
      <c r="K38" s="1"/>
      <c r="L38" s="1"/>
      <c r="M38" s="1"/>
      <c r="N38" s="1"/>
      <c r="O38" s="1"/>
      <c r="P38" s="1"/>
      <c r="Q38" s="605"/>
      <c r="R38" s="226" t="s">
        <v>616</v>
      </c>
      <c r="S38" s="194" t="s">
        <v>605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2:33" ht="13.2" x14ac:dyDescent="0.25">
      <c r="B39" s="1"/>
      <c r="C39" s="1"/>
      <c r="D39" s="1"/>
      <c r="E39" s="1"/>
      <c r="F39" s="70" t="str">
        <f>_xlfn.XLOOKUP(G39,Cultures!D$4:D$63,Cultures!B$4:B$63)</f>
        <v>5 - Industrial</v>
      </c>
      <c r="G39" s="118" t="s">
        <v>196</v>
      </c>
      <c r="H39" s="60" t="s">
        <v>9</v>
      </c>
      <c r="I39" s="1"/>
      <c r="J39" s="1"/>
      <c r="K39" s="1"/>
      <c r="L39" s="1"/>
      <c r="M39" s="1"/>
      <c r="N39" s="1"/>
      <c r="O39" s="1"/>
      <c r="P39" s="1"/>
      <c r="Q39" s="605"/>
      <c r="R39" s="226" t="s">
        <v>617</v>
      </c>
      <c r="S39" s="194" t="s">
        <v>606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2:33" ht="13.2" x14ac:dyDescent="0.25">
      <c r="B40" s="1"/>
      <c r="C40" s="1"/>
      <c r="D40" s="1"/>
      <c r="E40" s="1"/>
      <c r="F40" s="70" t="str">
        <f>_xlfn.XLOOKUP(G40,Cultures!D$4:D$63,Cultures!B$4:B$63)</f>
        <v>4 - Early Modern</v>
      </c>
      <c r="G40" s="118" t="s">
        <v>152</v>
      </c>
      <c r="H40" s="60" t="s">
        <v>538</v>
      </c>
      <c r="I40" s="1"/>
      <c r="J40" s="1"/>
      <c r="K40" s="1"/>
      <c r="L40" s="1"/>
      <c r="M40" s="1"/>
      <c r="N40" s="1"/>
      <c r="O40" s="1"/>
      <c r="P40" s="1"/>
      <c r="Q40" s="605"/>
      <c r="R40" s="225" t="s">
        <v>618</v>
      </c>
      <c r="S40" s="194" t="s">
        <v>607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2:33" ht="13.2" x14ac:dyDescent="0.25">
      <c r="B41" s="1"/>
      <c r="C41" s="1"/>
      <c r="D41" s="1"/>
      <c r="E41" s="1"/>
      <c r="F41" s="70" t="str">
        <f>_xlfn.XLOOKUP(G41,Cultures!D$4:D$63,Cultures!B$4:B$63)</f>
        <v>3 - Medieval</v>
      </c>
      <c r="G41" s="118" t="s">
        <v>120</v>
      </c>
      <c r="H41" s="60" t="s">
        <v>11</v>
      </c>
      <c r="I41" s="1"/>
      <c r="J41" s="1"/>
      <c r="K41" s="1"/>
      <c r="L41" s="1"/>
      <c r="M41" s="1"/>
      <c r="N41" s="1"/>
      <c r="O41" s="1"/>
      <c r="P41" s="1"/>
      <c r="Q41" s="605"/>
      <c r="R41" s="225" t="s">
        <v>584</v>
      </c>
      <c r="S41" s="194" t="s">
        <v>608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2:33" ht="13.2" x14ac:dyDescent="0.25">
      <c r="B42" s="1"/>
      <c r="C42" s="1"/>
      <c r="D42" s="1"/>
      <c r="E42" s="1"/>
      <c r="F42" s="70" t="str">
        <f>_xlfn.XLOOKUP(G42,Cultures!D$4:D$63,Cultures!B$4:B$63)</f>
        <v>4 - Early Modern</v>
      </c>
      <c r="G42" s="118" t="s">
        <v>156</v>
      </c>
      <c r="H42" s="60" t="s">
        <v>8</v>
      </c>
      <c r="I42" s="1"/>
      <c r="J42" s="1"/>
      <c r="K42" s="1"/>
      <c r="L42" s="1"/>
      <c r="M42" s="1"/>
      <c r="N42" s="1"/>
      <c r="O42" s="1"/>
      <c r="P42" s="1"/>
      <c r="Q42" s="605"/>
      <c r="R42" s="226" t="s">
        <v>611</v>
      </c>
      <c r="S42" s="194" t="s">
        <v>590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2:33" ht="13.8" thickBot="1" x14ac:dyDescent="0.3">
      <c r="B43" s="1"/>
      <c r="C43" s="1"/>
      <c r="D43" s="1"/>
      <c r="E43" s="1"/>
      <c r="F43" s="70" t="str">
        <f>_xlfn.XLOOKUP(G43,Cultures!D$4:D$63,Cultures!B$4:B$63)</f>
        <v>1 - Ancient</v>
      </c>
      <c r="G43" s="118" t="s">
        <v>37</v>
      </c>
      <c r="H43" s="60" t="s">
        <v>11</v>
      </c>
      <c r="I43" s="1"/>
      <c r="J43" s="1"/>
      <c r="K43" s="1"/>
      <c r="L43" s="1"/>
      <c r="M43" s="1"/>
      <c r="N43" s="1"/>
      <c r="O43" s="1"/>
      <c r="P43" s="1"/>
      <c r="Q43" s="606"/>
      <c r="R43" s="234" t="s">
        <v>587</v>
      </c>
      <c r="S43" s="235" t="s">
        <v>613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2:33" ht="13.2" x14ac:dyDescent="0.25">
      <c r="B44" s="1"/>
      <c r="C44" s="1"/>
      <c r="D44" s="1"/>
      <c r="E44" s="1"/>
      <c r="F44" s="70" t="str">
        <f>_xlfn.XLOOKUP(G44,Cultures!D$4:D$63,Cultures!B$4:B$63)</f>
        <v>3 - Medieval</v>
      </c>
      <c r="G44" s="118" t="s">
        <v>124</v>
      </c>
      <c r="H44" s="60" t="s">
        <v>10</v>
      </c>
      <c r="I44" s="1"/>
      <c r="J44" s="1"/>
      <c r="K44" s="1"/>
      <c r="L44" s="1"/>
      <c r="M44" s="1"/>
      <c r="N44" s="1"/>
      <c r="O44" s="1"/>
      <c r="P44" s="1"/>
      <c r="Q44" s="604" t="s">
        <v>576</v>
      </c>
      <c r="R44" s="232" t="s">
        <v>619</v>
      </c>
      <c r="S44" s="233" t="s">
        <v>601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2:33" ht="13.2" x14ac:dyDescent="0.25">
      <c r="B45" s="1"/>
      <c r="C45" s="1"/>
      <c r="D45" s="1"/>
      <c r="E45" s="1"/>
      <c r="F45" s="70" t="str">
        <f>_xlfn.XLOOKUP(G45,Cultures!D$4:D$63,Cultures!B$4:B$63)</f>
        <v>1 - Ancient</v>
      </c>
      <c r="G45" s="118" t="s">
        <v>41</v>
      </c>
      <c r="H45" s="60" t="s">
        <v>12</v>
      </c>
      <c r="I45" s="1"/>
      <c r="J45" s="1"/>
      <c r="K45" s="1"/>
      <c r="L45" s="1"/>
      <c r="M45" s="1"/>
      <c r="N45" s="1"/>
      <c r="O45" s="1"/>
      <c r="P45" s="1"/>
      <c r="Q45" s="605"/>
      <c r="R45" s="225" t="s">
        <v>620</v>
      </c>
      <c r="S45" s="194" t="s">
        <v>602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2:33" ht="13.2" x14ac:dyDescent="0.25">
      <c r="B46" s="1"/>
      <c r="C46" s="1"/>
      <c r="D46" s="1"/>
      <c r="E46" s="1"/>
      <c r="F46" s="70" t="str">
        <f>_xlfn.XLOOKUP(G46,Cultures!D$4:D$63,Cultures!B$4:B$63)</f>
        <v>1 - Ancient</v>
      </c>
      <c r="G46" s="118" t="s">
        <v>44</v>
      </c>
      <c r="H46" s="60" t="s">
        <v>538</v>
      </c>
      <c r="I46" s="1"/>
      <c r="J46" s="1"/>
      <c r="K46" s="1"/>
      <c r="L46" s="1"/>
      <c r="M46" s="1"/>
      <c r="N46" s="1"/>
      <c r="O46" s="1"/>
      <c r="P46" s="1"/>
      <c r="Q46" s="605"/>
      <c r="R46" s="225" t="s">
        <v>621</v>
      </c>
      <c r="S46" s="194" t="s">
        <v>603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2:33" ht="13.2" x14ac:dyDescent="0.25">
      <c r="B47" s="1"/>
      <c r="C47" s="1"/>
      <c r="D47" s="1"/>
      <c r="E47" s="1"/>
      <c r="F47" s="70" t="str">
        <f>_xlfn.XLOOKUP(G47,Cultures!D$4:D$63,Cultures!B$4:B$63)</f>
        <v>4 - Early Modern</v>
      </c>
      <c r="G47" s="118" t="s">
        <v>160</v>
      </c>
      <c r="H47" s="60" t="s">
        <v>10</v>
      </c>
      <c r="I47" s="1"/>
      <c r="J47" s="1"/>
      <c r="K47" s="1"/>
      <c r="L47" s="1"/>
      <c r="M47" s="1"/>
      <c r="N47" s="1"/>
      <c r="O47" s="1"/>
      <c r="P47" s="1"/>
      <c r="Q47" s="605"/>
      <c r="R47" s="226" t="s">
        <v>611</v>
      </c>
      <c r="S47" s="194" t="s">
        <v>604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2:33" ht="13.2" x14ac:dyDescent="0.25">
      <c r="B48" s="1"/>
      <c r="C48" s="1"/>
      <c r="D48" s="1"/>
      <c r="E48" s="1"/>
      <c r="F48" s="70" t="str">
        <f>_xlfn.XLOOKUP(G48,Cultures!D$4:D$63,Cultures!B$4:B$63)</f>
        <v>5 - Industrial</v>
      </c>
      <c r="G48" s="118" t="s">
        <v>200</v>
      </c>
      <c r="H48" s="60" t="s">
        <v>8</v>
      </c>
      <c r="I48" s="1"/>
      <c r="J48" s="1"/>
      <c r="K48" s="1"/>
      <c r="L48" s="1"/>
      <c r="M48" s="1"/>
      <c r="N48" s="1"/>
      <c r="O48" s="1"/>
      <c r="P48" s="1"/>
      <c r="Q48" s="605"/>
      <c r="R48" s="226" t="s">
        <v>622</v>
      </c>
      <c r="S48" s="194" t="s">
        <v>605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2:33" ht="13.2" x14ac:dyDescent="0.25">
      <c r="B49" s="1"/>
      <c r="C49" s="1"/>
      <c r="D49" s="1"/>
      <c r="E49" s="1"/>
      <c r="F49" s="70" t="str">
        <f>_xlfn.XLOOKUP(G49,Cultures!D$4:D$63,Cultures!B$4:B$63)</f>
        <v>1 - Ancient</v>
      </c>
      <c r="G49" s="118" t="s">
        <v>48</v>
      </c>
      <c r="H49" s="60" t="s">
        <v>12</v>
      </c>
      <c r="I49" s="1"/>
      <c r="J49" s="1"/>
      <c r="K49" s="1"/>
      <c r="L49" s="1"/>
      <c r="M49" s="1"/>
      <c r="N49" s="1"/>
      <c r="O49" s="1"/>
      <c r="P49" s="1"/>
      <c r="Q49" s="605"/>
      <c r="R49" s="226" t="s">
        <v>622</v>
      </c>
      <c r="S49" s="194" t="s">
        <v>606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2:33" ht="13.2" x14ac:dyDescent="0.25">
      <c r="B50" s="1"/>
      <c r="C50" s="1"/>
      <c r="D50" s="1"/>
      <c r="E50" s="1"/>
      <c r="F50" s="70" t="str">
        <f>_xlfn.XLOOKUP(G50,Cultures!D$4:D$63,Cultures!B$4:B$63)</f>
        <v>4 - Early Modern</v>
      </c>
      <c r="G50" s="118" t="s">
        <v>164</v>
      </c>
      <c r="H50" s="60" t="s">
        <v>11</v>
      </c>
      <c r="I50" s="1"/>
      <c r="J50" s="1"/>
      <c r="K50" s="1"/>
      <c r="L50" s="1"/>
      <c r="M50" s="1"/>
      <c r="N50" s="1"/>
      <c r="O50" s="1"/>
      <c r="P50" s="1"/>
      <c r="Q50" s="605"/>
      <c r="R50" s="225" t="s">
        <v>579</v>
      </c>
      <c r="S50" s="194" t="s">
        <v>607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2:33" ht="13.2" x14ac:dyDescent="0.25">
      <c r="B51" s="1"/>
      <c r="C51" s="1"/>
      <c r="D51" s="1"/>
      <c r="E51" s="1"/>
      <c r="F51" s="70" t="str">
        <f>_xlfn.XLOOKUP(G51,Cultures!D$4:D$63,Cultures!B$4:B$63)</f>
        <v>2 - Classical</v>
      </c>
      <c r="G51" s="118" t="s">
        <v>92</v>
      </c>
      <c r="H51" s="60" t="s">
        <v>10</v>
      </c>
      <c r="I51" s="1"/>
      <c r="J51" s="1"/>
      <c r="K51" s="1"/>
      <c r="L51" s="1"/>
      <c r="M51" s="1"/>
      <c r="N51" s="1"/>
      <c r="O51" s="1"/>
      <c r="P51" s="1"/>
      <c r="Q51" s="605"/>
      <c r="R51" s="225" t="s">
        <v>618</v>
      </c>
      <c r="S51" s="194" t="s">
        <v>608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2:33" ht="13.2" x14ac:dyDescent="0.25">
      <c r="B52" s="1"/>
      <c r="C52" s="1"/>
      <c r="D52" s="1"/>
      <c r="E52" s="1"/>
      <c r="F52" s="70" t="str">
        <f>_xlfn.XLOOKUP(G52,Cultures!D$4:D$63,Cultures!B$4:B$63)</f>
        <v>5 - Industrial</v>
      </c>
      <c r="G52" s="118" t="s">
        <v>204</v>
      </c>
      <c r="H52" s="60" t="s">
        <v>10</v>
      </c>
      <c r="I52" s="1"/>
      <c r="J52" s="1"/>
      <c r="K52" s="1"/>
      <c r="L52" s="1"/>
      <c r="M52" s="1"/>
      <c r="N52" s="1"/>
      <c r="O52" s="1"/>
      <c r="P52" s="1"/>
      <c r="Q52" s="605"/>
      <c r="R52" s="226" t="s">
        <v>611</v>
      </c>
      <c r="S52" s="194" t="s">
        <v>590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2:33" ht="13.8" thickBot="1" x14ac:dyDescent="0.3">
      <c r="B53" s="1"/>
      <c r="C53" s="1"/>
      <c r="D53" s="1"/>
      <c r="E53" s="1"/>
      <c r="F53" s="70" t="str">
        <f>_xlfn.XLOOKUP(G53,Cultures!D$4:D$63,Cultures!B$4:B$63)</f>
        <v>5 - Industrial</v>
      </c>
      <c r="G53" s="118" t="s">
        <v>208</v>
      </c>
      <c r="H53" s="60" t="s">
        <v>8</v>
      </c>
      <c r="I53" s="1"/>
      <c r="J53" s="1"/>
      <c r="K53" s="1"/>
      <c r="L53" s="1"/>
      <c r="M53" s="1"/>
      <c r="N53" s="1"/>
      <c r="O53" s="1"/>
      <c r="P53" s="1"/>
      <c r="Q53" s="606"/>
      <c r="R53" s="229" t="s">
        <v>582</v>
      </c>
      <c r="S53" s="197" t="s">
        <v>613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2:33" ht="13.2" x14ac:dyDescent="0.25">
      <c r="B54" s="1"/>
      <c r="C54" s="1"/>
      <c r="D54" s="1"/>
      <c r="E54" s="1"/>
      <c r="F54" s="70" t="str">
        <f>_xlfn.XLOOKUP(G54,Cultures!D$4:D$63,Cultures!B$4:B$63)</f>
        <v>6 - Contemporary</v>
      </c>
      <c r="G54" s="118" t="s">
        <v>242</v>
      </c>
      <c r="H54" s="60" t="s">
        <v>10</v>
      </c>
      <c r="I54" s="1"/>
      <c r="J54" s="1"/>
      <c r="K54" s="1"/>
      <c r="L54" s="1"/>
      <c r="M54" s="1"/>
      <c r="N54" s="1"/>
      <c r="O54" s="1"/>
      <c r="P54" s="1"/>
      <c r="R54" s="227" t="s">
        <v>577</v>
      </c>
      <c r="S54" s="228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2:33" ht="13.2" x14ac:dyDescent="0.25">
      <c r="B55" s="1"/>
      <c r="C55" s="1"/>
      <c r="D55" s="1"/>
      <c r="E55" s="1"/>
      <c r="F55" s="70" t="str">
        <f>_xlfn.XLOOKUP(G55,Cultures!D$4:D$63,Cultures!B$4:B$63)</f>
        <v>4 - Early Modern</v>
      </c>
      <c r="G55" s="118" t="s">
        <v>168</v>
      </c>
      <c r="H55" s="60" t="s">
        <v>10</v>
      </c>
      <c r="I55" s="1"/>
      <c r="J55" s="1"/>
      <c r="K55" s="1"/>
      <c r="L55" s="1"/>
      <c r="M55" s="1"/>
      <c r="N55" s="1"/>
      <c r="O55" s="1"/>
      <c r="P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2:33" ht="13.2" x14ac:dyDescent="0.25">
      <c r="B56" s="1"/>
      <c r="C56" s="1"/>
      <c r="D56" s="1"/>
      <c r="E56" s="1"/>
      <c r="F56" s="70" t="str">
        <f>_xlfn.XLOOKUP(G56,Cultures!D$4:D$63,Cultures!B$4:B$63)</f>
        <v>6 - Contemporary</v>
      </c>
      <c r="G56" s="118" t="s">
        <v>246</v>
      </c>
      <c r="H56" s="60" t="s">
        <v>13</v>
      </c>
      <c r="I56" s="1"/>
      <c r="J56" s="1"/>
      <c r="K56" s="1"/>
      <c r="L56" s="1"/>
      <c r="M56" s="1"/>
      <c r="N56" s="1"/>
      <c r="O56" s="1"/>
      <c r="P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2:33" ht="13.2" x14ac:dyDescent="0.25">
      <c r="B57" s="1"/>
      <c r="C57" s="1"/>
      <c r="D57" s="1"/>
      <c r="E57" s="1"/>
      <c r="F57" s="70" t="str">
        <f>_xlfn.XLOOKUP(G57,Cultures!D$4:D$63,Cultures!B$4:B$63)</f>
        <v>3 - Medieval</v>
      </c>
      <c r="G57" s="118" t="s">
        <v>128</v>
      </c>
      <c r="H57" s="60" t="s">
        <v>10</v>
      </c>
      <c r="I57" s="1"/>
      <c r="J57" s="1"/>
      <c r="K57" s="1"/>
      <c r="L57" s="1"/>
      <c r="M57" s="1"/>
      <c r="N57" s="1"/>
      <c r="O57" s="1"/>
      <c r="P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2:33" ht="13.2" x14ac:dyDescent="0.25">
      <c r="B58" s="1"/>
      <c r="C58" s="1"/>
      <c r="D58" s="1"/>
      <c r="E58" s="1"/>
      <c r="F58" s="70" t="str">
        <f>_xlfn.XLOOKUP(G58,Cultures!D$4:D$63,Cultures!B$4:B$63)</f>
        <v>6 - Contemporary</v>
      </c>
      <c r="G58" s="118" t="s">
        <v>250</v>
      </c>
      <c r="H58" s="60" t="s">
        <v>9</v>
      </c>
      <c r="I58" s="1"/>
      <c r="J58" s="1"/>
      <c r="K58" s="1"/>
      <c r="L58" s="1"/>
      <c r="M58" s="1"/>
      <c r="N58" s="1"/>
      <c r="O58" s="1"/>
      <c r="P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2:33" ht="13.2" x14ac:dyDescent="0.25">
      <c r="B59" s="1"/>
      <c r="C59" s="1"/>
      <c r="D59" s="1"/>
      <c r="E59" s="1"/>
      <c r="F59" s="70" t="str">
        <f>_xlfn.XLOOKUP(G59,Cultures!D$4:D$63,Cultures!B$4:B$63)</f>
        <v>3 - Medieval</v>
      </c>
      <c r="G59" s="118" t="s">
        <v>132</v>
      </c>
      <c r="H59" s="60" t="s">
        <v>13</v>
      </c>
      <c r="I59" s="1"/>
      <c r="J59" s="1"/>
      <c r="K59" s="1"/>
      <c r="L59" s="1"/>
      <c r="M59" s="1"/>
      <c r="N59" s="1"/>
      <c r="O59" s="1"/>
      <c r="P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2:33" ht="13.2" x14ac:dyDescent="0.25">
      <c r="B60" s="1"/>
      <c r="C60" s="1"/>
      <c r="D60" s="1"/>
      <c r="E60" s="1"/>
      <c r="F60" s="70" t="str">
        <f>_xlfn.XLOOKUP(G60,Cultures!D$4:D$63,Cultures!B$4:B$63)</f>
        <v>4 - Early Modern</v>
      </c>
      <c r="G60" s="118" t="s">
        <v>172</v>
      </c>
      <c r="H60" s="60" t="s">
        <v>12</v>
      </c>
      <c r="I60" s="1"/>
      <c r="J60" s="1"/>
      <c r="K60" s="1"/>
      <c r="L60" s="1"/>
      <c r="M60" s="1"/>
      <c r="N60" s="1"/>
      <c r="O60" s="1"/>
      <c r="P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2:33" ht="13.2" x14ac:dyDescent="0.25">
      <c r="B61" s="1"/>
      <c r="C61" s="1"/>
      <c r="D61" s="1"/>
      <c r="E61" s="1"/>
      <c r="F61" s="70" t="str">
        <f>_xlfn.XLOOKUP(G61,Cultures!D$4:D$63,Cultures!B$4:B$63)</f>
        <v>1 - Ancient</v>
      </c>
      <c r="G61" s="118" t="s">
        <v>52</v>
      </c>
      <c r="H61" s="60" t="s">
        <v>538</v>
      </c>
      <c r="I61" s="1"/>
      <c r="J61" s="1"/>
      <c r="K61" s="1"/>
      <c r="L61" s="1"/>
      <c r="M61" s="1"/>
      <c r="N61" s="1"/>
      <c r="O61" s="1"/>
      <c r="P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2:33" ht="13.8" thickBot="1" x14ac:dyDescent="0.3">
      <c r="B62" s="1"/>
      <c r="C62" s="1"/>
      <c r="D62" s="1"/>
      <c r="E62" s="1"/>
      <c r="F62" s="71" t="str">
        <f>_xlfn.XLOOKUP(G62,Cultures!D$4:D$63,Cultures!B$4:B$63)</f>
        <v>5 - Industrial</v>
      </c>
      <c r="G62" s="119" t="s">
        <v>212</v>
      </c>
      <c r="H62" s="120" t="s">
        <v>11</v>
      </c>
      <c r="I62" s="1"/>
      <c r="J62" s="1"/>
      <c r="K62" s="1"/>
      <c r="L62" s="1"/>
      <c r="M62" s="1"/>
      <c r="N62" s="1"/>
      <c r="O62" s="1"/>
      <c r="P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2:33" ht="13.8" thickBot="1" x14ac:dyDescent="0.3">
      <c r="B63" s="1"/>
      <c r="C63" s="1"/>
      <c r="D63" s="1"/>
      <c r="E63" s="1"/>
      <c r="F63" s="1"/>
      <c r="G63" s="1"/>
      <c r="H63" s="26"/>
      <c r="I63" s="1"/>
      <c r="J63" s="1"/>
      <c r="K63" s="1"/>
      <c r="L63" s="1"/>
      <c r="M63" s="1"/>
      <c r="N63" s="1"/>
      <c r="O63" s="1"/>
      <c r="P63" s="1"/>
      <c r="Q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2:33" ht="13.8" thickBot="1" x14ac:dyDescent="0.3">
      <c r="B64" s="1"/>
      <c r="C64" s="1"/>
      <c r="D64" s="1"/>
      <c r="E64" s="1"/>
      <c r="F64" s="1"/>
      <c r="G64" s="76">
        <f>COUNTA(G3:G62)</f>
        <v>60</v>
      </c>
      <c r="H64" s="77" t="s">
        <v>534</v>
      </c>
      <c r="I64" s="1"/>
      <c r="J64" s="1"/>
      <c r="K64" s="1"/>
      <c r="L64" s="1"/>
      <c r="M64" s="1"/>
      <c r="N64" s="1"/>
      <c r="O64" s="1"/>
      <c r="P64" s="1"/>
      <c r="Q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2:33" ht="13.2" x14ac:dyDescent="0.25">
      <c r="B65" s="1"/>
      <c r="C65" s="1"/>
      <c r="D65" s="1"/>
      <c r="E65" s="1"/>
      <c r="F65" s="1"/>
      <c r="G65" s="1"/>
      <c r="H65" s="26"/>
      <c r="I65" s="1"/>
      <c r="J65" s="1"/>
      <c r="K65" s="1"/>
      <c r="L65" s="1"/>
      <c r="M65" s="1"/>
      <c r="N65" s="1"/>
      <c r="O65" s="1"/>
      <c r="P65" s="1"/>
      <c r="Q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2:33" ht="13.2" x14ac:dyDescent="0.25">
      <c r="B66" s="1"/>
      <c r="C66" s="1"/>
      <c r="D66" s="1"/>
      <c r="E66" s="1"/>
      <c r="F66" s="1"/>
      <c r="G66" s="1"/>
      <c r="H66" s="26"/>
      <c r="I66" s="1"/>
      <c r="J66" s="1"/>
      <c r="K66" s="1"/>
      <c r="L66" s="1"/>
      <c r="M66" s="1"/>
      <c r="N66" s="1"/>
      <c r="O66" s="1"/>
      <c r="P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2:33" ht="13.2" x14ac:dyDescent="0.25">
      <c r="B67" s="1"/>
      <c r="C67" s="1"/>
      <c r="D67" s="1"/>
      <c r="E67" s="1"/>
      <c r="F67" s="1"/>
      <c r="G67" s="1"/>
      <c r="H67" s="26"/>
      <c r="I67" s="1"/>
      <c r="J67" s="1"/>
      <c r="K67" s="1"/>
      <c r="L67" s="1"/>
      <c r="M67" s="1"/>
      <c r="N67" s="1"/>
      <c r="O67" s="1"/>
      <c r="P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2:33" ht="13.2" x14ac:dyDescent="0.25">
      <c r="B68" s="1"/>
      <c r="C68" s="1"/>
      <c r="D68" s="1"/>
      <c r="E68" s="1"/>
      <c r="F68" s="1"/>
      <c r="G68" s="1"/>
      <c r="H68" s="26"/>
      <c r="I68" s="1"/>
      <c r="J68" s="1"/>
      <c r="K68" s="1"/>
      <c r="L68" s="1"/>
      <c r="M68" s="1"/>
      <c r="N68" s="1"/>
      <c r="O68" s="1"/>
      <c r="P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2:33" ht="13.2" x14ac:dyDescent="0.25">
      <c r="B69" s="1"/>
      <c r="C69" s="1"/>
      <c r="D69" s="1"/>
      <c r="E69" s="1"/>
      <c r="F69" s="1"/>
      <c r="G69" s="1"/>
      <c r="H69" s="26"/>
      <c r="I69" s="1"/>
      <c r="J69" s="1"/>
      <c r="K69" s="1"/>
      <c r="L69" s="1"/>
      <c r="M69" s="1"/>
      <c r="N69" s="1"/>
      <c r="O69" s="1"/>
      <c r="P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2:33" ht="13.2" x14ac:dyDescent="0.25">
      <c r="B70" s="1"/>
      <c r="C70" s="1"/>
      <c r="D70" s="1"/>
      <c r="E70" s="1"/>
      <c r="F70" s="1"/>
      <c r="G70" s="1"/>
      <c r="H70" s="26"/>
      <c r="I70" s="1"/>
      <c r="J70" s="1"/>
      <c r="K70" s="1"/>
      <c r="L70" s="1"/>
      <c r="M70" s="1"/>
      <c r="N70" s="1"/>
      <c r="O70" s="1"/>
      <c r="P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2:33" ht="13.2" x14ac:dyDescent="0.25">
      <c r="B71" s="1"/>
      <c r="C71" s="1"/>
      <c r="D71" s="1"/>
      <c r="E71" s="1"/>
      <c r="F71" s="1"/>
      <c r="G71" s="1"/>
      <c r="H71" s="26"/>
      <c r="I71" s="1"/>
      <c r="J71" s="1"/>
      <c r="K71" s="1"/>
      <c r="L71" s="1"/>
      <c r="M71" s="1"/>
      <c r="N71" s="1"/>
      <c r="O71" s="1"/>
      <c r="P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2:33" ht="13.2" x14ac:dyDescent="0.25">
      <c r="B72" s="1"/>
      <c r="C72" s="1"/>
      <c r="D72" s="1"/>
      <c r="E72" s="1"/>
      <c r="F72" s="1"/>
      <c r="G72" s="1"/>
      <c r="H72" s="26"/>
      <c r="I72" s="1"/>
      <c r="J72" s="1"/>
      <c r="K72" s="1"/>
      <c r="L72" s="1"/>
      <c r="M72" s="1"/>
      <c r="N72" s="1"/>
      <c r="O72" s="1"/>
      <c r="P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2:33" ht="13.2" x14ac:dyDescent="0.25">
      <c r="B73" s="1"/>
      <c r="C73" s="1"/>
      <c r="D73" s="1"/>
      <c r="E73" s="1"/>
      <c r="F73" s="1"/>
      <c r="G73" s="1"/>
      <c r="H73" s="26"/>
      <c r="I73" s="1"/>
      <c r="J73" s="1"/>
      <c r="K73" s="1"/>
      <c r="L73" s="1"/>
      <c r="M73" s="1"/>
      <c r="N73" s="1"/>
      <c r="O73" s="1"/>
      <c r="P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2:33" ht="13.2" x14ac:dyDescent="0.25">
      <c r="B74" s="1"/>
      <c r="C74" s="1"/>
      <c r="D74" s="1"/>
      <c r="E74" s="1"/>
      <c r="F74" s="1"/>
      <c r="G74" s="1"/>
      <c r="H74" s="26"/>
      <c r="I74" s="1"/>
      <c r="J74" s="1"/>
      <c r="K74" s="1"/>
      <c r="L74" s="1"/>
      <c r="M74" s="1"/>
      <c r="N74" s="1"/>
      <c r="O74" s="1"/>
      <c r="P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2:33" ht="13.2" x14ac:dyDescent="0.25">
      <c r="B75" s="1"/>
      <c r="C75" s="1"/>
      <c r="D75" s="1"/>
      <c r="E75" s="1"/>
      <c r="F75" s="1"/>
      <c r="G75" s="1"/>
      <c r="H75" s="26"/>
      <c r="I75" s="1"/>
      <c r="J75" s="1"/>
      <c r="K75" s="1"/>
      <c r="L75" s="1"/>
      <c r="M75" s="1"/>
      <c r="N75" s="1"/>
      <c r="O75" s="1"/>
      <c r="P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2:33" ht="13.2" x14ac:dyDescent="0.25">
      <c r="B76" s="1"/>
      <c r="C76" s="1"/>
      <c r="D76" s="1"/>
      <c r="E76" s="1"/>
      <c r="F76" s="1"/>
      <c r="G76" s="1"/>
      <c r="H76" s="26"/>
      <c r="I76" s="1"/>
      <c r="J76" s="1"/>
      <c r="K76" s="1"/>
      <c r="L76" s="1"/>
      <c r="M76" s="1"/>
      <c r="N76" s="1"/>
      <c r="O76" s="1"/>
      <c r="P76" s="1"/>
      <c r="Q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2:33" ht="13.2" x14ac:dyDescent="0.25">
      <c r="B77" s="1"/>
      <c r="C77" s="1"/>
      <c r="D77" s="1"/>
      <c r="E77" s="1"/>
      <c r="F77" s="1"/>
      <c r="G77" s="1"/>
      <c r="H77" s="26"/>
      <c r="I77" s="1"/>
      <c r="J77" s="1"/>
      <c r="K77" s="1"/>
      <c r="L77" s="1"/>
      <c r="M77" s="1"/>
      <c r="N77" s="1"/>
      <c r="O77" s="1"/>
      <c r="P77" s="1"/>
      <c r="Q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2:33" ht="13.2" x14ac:dyDescent="0.25">
      <c r="B78" s="1"/>
      <c r="C78" s="1"/>
      <c r="D78" s="1"/>
      <c r="E78" s="1"/>
      <c r="F78" s="1"/>
      <c r="G78" s="1"/>
      <c r="H78" s="2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2:33" ht="13.2" x14ac:dyDescent="0.25">
      <c r="B79" s="1"/>
      <c r="C79" s="1"/>
      <c r="D79" s="1"/>
      <c r="E79" s="1"/>
      <c r="F79" s="1"/>
      <c r="G79" s="1"/>
      <c r="H79" s="2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2:33" ht="13.2" x14ac:dyDescent="0.25">
      <c r="B80" s="1"/>
      <c r="C80" s="1"/>
      <c r="D80" s="1"/>
      <c r="E80" s="1"/>
      <c r="F80" s="1"/>
      <c r="G80" s="1"/>
      <c r="H80" s="2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2:33" ht="13.2" x14ac:dyDescent="0.25">
      <c r="B81" s="1"/>
      <c r="C81" s="1"/>
      <c r="D81" s="1"/>
      <c r="E81" s="1"/>
      <c r="F81" s="1"/>
      <c r="G81" s="1"/>
      <c r="H81" s="2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2:33" ht="13.2" x14ac:dyDescent="0.25">
      <c r="B82" s="1"/>
      <c r="C82" s="1"/>
      <c r="D82" s="1"/>
      <c r="E82" s="1"/>
      <c r="F82" s="1"/>
      <c r="G82" s="1"/>
      <c r="H82" s="2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2:33" ht="13.2" x14ac:dyDescent="0.25">
      <c r="B83" s="1"/>
      <c r="C83" s="1"/>
      <c r="D83" s="1"/>
      <c r="E83" s="1"/>
      <c r="F83" s="1"/>
      <c r="G83" s="1"/>
      <c r="H83" s="2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2:33" ht="13.2" x14ac:dyDescent="0.25">
      <c r="B84" s="1"/>
      <c r="C84" s="1"/>
      <c r="D84" s="1"/>
      <c r="E84" s="1"/>
      <c r="F84" s="1"/>
      <c r="G84" s="1"/>
      <c r="H84" s="2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2:33" ht="13.2" x14ac:dyDescent="0.25">
      <c r="B85" s="1"/>
      <c r="C85" s="1"/>
      <c r="D85" s="1"/>
      <c r="E85" s="1"/>
      <c r="F85" s="1"/>
      <c r="G85" s="1"/>
      <c r="H85" s="2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2:33" ht="13.2" x14ac:dyDescent="0.25">
      <c r="B86" s="1"/>
      <c r="C86" s="1"/>
      <c r="D86" s="1"/>
      <c r="E86" s="1"/>
      <c r="F86" s="1"/>
      <c r="G86" s="1"/>
      <c r="H86" s="2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2:33" ht="13.2" x14ac:dyDescent="0.25">
      <c r="B87" s="1"/>
      <c r="C87" s="1"/>
      <c r="D87" s="1"/>
      <c r="E87" s="1"/>
      <c r="F87" s="1"/>
      <c r="G87" s="1"/>
      <c r="H87" s="2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2:33" ht="13.2" x14ac:dyDescent="0.25">
      <c r="B88" s="1"/>
      <c r="C88" s="1"/>
      <c r="D88" s="1"/>
      <c r="E88" s="1"/>
      <c r="F88" s="1"/>
      <c r="G88" s="1"/>
      <c r="H88" s="2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2:33" ht="13.2" x14ac:dyDescent="0.25">
      <c r="B89" s="1"/>
      <c r="C89" s="1"/>
      <c r="D89" s="1"/>
      <c r="E89" s="1"/>
      <c r="F89" s="1"/>
      <c r="G89" s="1"/>
      <c r="H89" s="2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2:33" ht="13.2" x14ac:dyDescent="0.25">
      <c r="B90" s="1"/>
      <c r="C90" s="1"/>
      <c r="D90" s="1"/>
      <c r="E90" s="1"/>
      <c r="F90" s="1"/>
      <c r="G90" s="1"/>
      <c r="H90" s="2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2:33" ht="13.2" x14ac:dyDescent="0.25">
      <c r="B91" s="1"/>
      <c r="C91" s="1"/>
      <c r="D91" s="1"/>
      <c r="E91" s="1"/>
      <c r="F91" s="1"/>
      <c r="G91" s="1"/>
      <c r="H91" s="2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2:33" ht="13.2" x14ac:dyDescent="0.25">
      <c r="B92" s="1"/>
      <c r="C92" s="1"/>
      <c r="D92" s="1"/>
      <c r="E92" s="1"/>
      <c r="F92" s="1"/>
      <c r="G92" s="1"/>
      <c r="H92" s="2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2:33" ht="13.2" x14ac:dyDescent="0.25">
      <c r="B93" s="1"/>
      <c r="C93" s="1"/>
      <c r="D93" s="1"/>
      <c r="E93" s="1"/>
      <c r="F93" s="1"/>
      <c r="G93" s="1"/>
      <c r="H93" s="2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2:33" ht="13.2" x14ac:dyDescent="0.25">
      <c r="B94" s="1"/>
      <c r="C94" s="1"/>
      <c r="D94" s="1"/>
      <c r="E94" s="1"/>
      <c r="F94" s="1"/>
      <c r="G94" s="1"/>
      <c r="H94" s="2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2:33" ht="13.2" x14ac:dyDescent="0.25">
      <c r="B95" s="1"/>
      <c r="C95" s="1"/>
      <c r="D95" s="1"/>
      <c r="E95" s="1"/>
      <c r="F95" s="1"/>
      <c r="G95" s="1"/>
      <c r="H95" s="2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2:33" ht="13.2" x14ac:dyDescent="0.25">
      <c r="B96" s="1"/>
      <c r="C96" s="1"/>
      <c r="D96" s="1"/>
      <c r="E96" s="1"/>
      <c r="F96" s="1"/>
      <c r="G96" s="1"/>
      <c r="H96" s="2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2:33" ht="13.2" x14ac:dyDescent="0.25">
      <c r="B97" s="1"/>
      <c r="C97" s="1"/>
      <c r="D97" s="1"/>
      <c r="E97" s="1"/>
      <c r="F97" s="1"/>
      <c r="G97" s="1"/>
      <c r="H97" s="2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2:33" ht="13.2" x14ac:dyDescent="0.25">
      <c r="B98" s="1"/>
      <c r="C98" s="1"/>
      <c r="D98" s="1"/>
      <c r="E98" s="1"/>
      <c r="F98" s="1"/>
      <c r="G98" s="1"/>
      <c r="H98" s="2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2:33" ht="13.2" x14ac:dyDescent="0.25">
      <c r="B99" s="1"/>
      <c r="C99" s="1"/>
      <c r="D99" s="1"/>
      <c r="E99" s="1"/>
      <c r="F99" s="1"/>
      <c r="G99" s="1"/>
      <c r="H99" s="2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2:33" ht="13.2" x14ac:dyDescent="0.25">
      <c r="B100" s="1"/>
      <c r="C100" s="1"/>
      <c r="D100" s="1"/>
      <c r="E100" s="1"/>
      <c r="F100" s="1"/>
      <c r="G100" s="1"/>
      <c r="H100" s="2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2:33" ht="13.2" x14ac:dyDescent="0.25">
      <c r="B101" s="1"/>
      <c r="C101" s="1"/>
      <c r="D101" s="1"/>
      <c r="E101" s="1"/>
      <c r="F101" s="1"/>
      <c r="G101" s="1"/>
      <c r="H101" s="2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2:33" ht="13.2" x14ac:dyDescent="0.25">
      <c r="B102" s="1"/>
      <c r="C102" s="1"/>
      <c r="D102" s="1"/>
      <c r="E102" s="1"/>
      <c r="F102" s="1"/>
      <c r="G102" s="1"/>
      <c r="H102" s="2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2:33" ht="13.2" x14ac:dyDescent="0.25">
      <c r="B103" s="1"/>
      <c r="C103" s="1"/>
      <c r="D103" s="1"/>
      <c r="E103" s="1"/>
      <c r="F103" s="1"/>
      <c r="G103" s="1"/>
      <c r="H103" s="2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2:33" ht="13.2" x14ac:dyDescent="0.25">
      <c r="B104" s="1"/>
      <c r="C104" s="1"/>
      <c r="D104" s="1"/>
      <c r="E104" s="1"/>
      <c r="F104" s="1"/>
      <c r="G104" s="1"/>
      <c r="H104" s="2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2:33" ht="13.2" x14ac:dyDescent="0.25">
      <c r="B105" s="1"/>
      <c r="C105" s="1"/>
      <c r="D105" s="1"/>
      <c r="E105" s="1"/>
      <c r="F105" s="1"/>
      <c r="G105" s="1"/>
      <c r="H105" s="2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2:33" ht="13.2" x14ac:dyDescent="0.25">
      <c r="B106" s="1"/>
      <c r="C106" s="1"/>
      <c r="D106" s="1"/>
      <c r="E106" s="1"/>
      <c r="F106" s="1"/>
      <c r="G106" s="1"/>
      <c r="H106" s="2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2:33" ht="13.2" x14ac:dyDescent="0.25">
      <c r="B107" s="1"/>
      <c r="C107" s="1"/>
      <c r="D107" s="1"/>
      <c r="E107" s="1"/>
      <c r="F107" s="1"/>
      <c r="G107" s="1"/>
      <c r="H107" s="2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2:33" ht="13.2" x14ac:dyDescent="0.25">
      <c r="B108" s="1"/>
      <c r="C108" s="1"/>
      <c r="D108" s="1"/>
      <c r="E108" s="1"/>
      <c r="F108" s="1"/>
      <c r="G108" s="1"/>
      <c r="H108" s="2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2:33" ht="13.2" x14ac:dyDescent="0.25">
      <c r="B109" s="1"/>
      <c r="C109" s="1"/>
      <c r="D109" s="1"/>
      <c r="E109" s="1"/>
      <c r="F109" s="1"/>
      <c r="G109" s="1"/>
      <c r="H109" s="2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2:33" ht="13.2" x14ac:dyDescent="0.25">
      <c r="B110" s="1"/>
      <c r="C110" s="1"/>
      <c r="D110" s="1"/>
      <c r="E110" s="1"/>
      <c r="F110" s="1"/>
      <c r="G110" s="1"/>
      <c r="H110" s="2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2:33" ht="13.2" x14ac:dyDescent="0.25">
      <c r="B111" s="1"/>
      <c r="C111" s="1"/>
      <c r="D111" s="1"/>
      <c r="E111" s="1"/>
      <c r="F111" s="1"/>
      <c r="G111" s="1"/>
      <c r="H111" s="2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2:33" ht="13.2" x14ac:dyDescent="0.25">
      <c r="B112" s="1"/>
      <c r="C112" s="1"/>
      <c r="D112" s="1"/>
      <c r="E112" s="1"/>
      <c r="F112" s="1"/>
      <c r="G112" s="1"/>
      <c r="H112" s="2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2:33" ht="13.2" x14ac:dyDescent="0.25">
      <c r="B113" s="1"/>
      <c r="C113" s="1"/>
      <c r="D113" s="1"/>
      <c r="E113" s="1"/>
      <c r="F113" s="1"/>
      <c r="G113" s="1"/>
      <c r="H113" s="2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2:33" ht="13.2" x14ac:dyDescent="0.25">
      <c r="B114" s="1"/>
      <c r="C114" s="1"/>
      <c r="D114" s="1"/>
      <c r="E114" s="1"/>
      <c r="F114" s="1"/>
      <c r="G114" s="1"/>
      <c r="H114" s="2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2:33" ht="13.2" x14ac:dyDescent="0.25">
      <c r="B115" s="1"/>
      <c r="C115" s="1"/>
      <c r="D115" s="1"/>
      <c r="E115" s="1"/>
      <c r="F115" s="1"/>
      <c r="G115" s="1"/>
      <c r="H115" s="2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2:33" ht="13.2" x14ac:dyDescent="0.25">
      <c r="B116" s="1"/>
      <c r="C116" s="1"/>
      <c r="D116" s="1"/>
      <c r="E116" s="1"/>
      <c r="F116" s="1"/>
      <c r="G116" s="1"/>
      <c r="H116" s="2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2:33" ht="13.2" x14ac:dyDescent="0.25">
      <c r="B117" s="1"/>
      <c r="C117" s="1"/>
      <c r="D117" s="1"/>
      <c r="E117" s="1"/>
      <c r="F117" s="1"/>
      <c r="G117" s="1"/>
      <c r="H117" s="2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2:33" ht="13.2" x14ac:dyDescent="0.25">
      <c r="B118" s="1"/>
      <c r="C118" s="1"/>
      <c r="D118" s="1"/>
      <c r="E118" s="1"/>
      <c r="F118" s="1"/>
      <c r="G118" s="1"/>
      <c r="H118" s="2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2:33" ht="13.2" x14ac:dyDescent="0.25">
      <c r="B119" s="1"/>
      <c r="C119" s="1"/>
      <c r="D119" s="1"/>
      <c r="E119" s="1"/>
      <c r="F119" s="1"/>
      <c r="G119" s="1"/>
      <c r="H119" s="2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2:33" ht="13.2" x14ac:dyDescent="0.25">
      <c r="B120" s="1"/>
      <c r="C120" s="1"/>
      <c r="D120" s="1"/>
      <c r="E120" s="1"/>
      <c r="F120" s="1"/>
      <c r="G120" s="1"/>
      <c r="H120" s="2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2:33" ht="13.2" x14ac:dyDescent="0.25">
      <c r="B121" s="1"/>
      <c r="C121" s="1"/>
      <c r="D121" s="1"/>
      <c r="E121" s="1"/>
      <c r="F121" s="1"/>
      <c r="G121" s="1"/>
      <c r="H121" s="2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2:33" ht="13.2" x14ac:dyDescent="0.25">
      <c r="B122" s="1"/>
      <c r="C122" s="1"/>
      <c r="D122" s="1"/>
      <c r="E122" s="1"/>
      <c r="F122" s="1"/>
      <c r="G122" s="1"/>
      <c r="H122" s="2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2:33" ht="13.2" x14ac:dyDescent="0.25">
      <c r="B123" s="1"/>
      <c r="C123" s="1"/>
      <c r="D123" s="1"/>
      <c r="E123" s="1"/>
      <c r="F123" s="1"/>
      <c r="G123" s="1"/>
      <c r="H123" s="2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2:33" ht="13.2" x14ac:dyDescent="0.25">
      <c r="B124" s="1"/>
      <c r="C124" s="1"/>
      <c r="D124" s="1"/>
      <c r="E124" s="1"/>
      <c r="F124" s="1"/>
      <c r="G124" s="1"/>
      <c r="H124" s="2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2:33" ht="13.2" x14ac:dyDescent="0.25">
      <c r="B125" s="1"/>
      <c r="C125" s="1"/>
      <c r="D125" s="1"/>
      <c r="E125" s="1"/>
      <c r="F125" s="1"/>
      <c r="G125" s="1"/>
      <c r="H125" s="2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2:33" ht="13.2" x14ac:dyDescent="0.25">
      <c r="B126" s="1"/>
      <c r="C126" s="1"/>
      <c r="D126" s="1"/>
      <c r="E126" s="1"/>
      <c r="F126" s="1"/>
      <c r="G126" s="1"/>
      <c r="H126" s="2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2:33" ht="13.2" x14ac:dyDescent="0.25">
      <c r="B127" s="1"/>
      <c r="C127" s="1"/>
      <c r="D127" s="1"/>
      <c r="E127" s="1"/>
      <c r="F127" s="1"/>
      <c r="G127" s="1"/>
      <c r="H127" s="2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2:33" ht="13.2" x14ac:dyDescent="0.25">
      <c r="B128" s="1"/>
      <c r="C128" s="1"/>
      <c r="D128" s="1"/>
      <c r="E128" s="1"/>
      <c r="F128" s="1"/>
      <c r="G128" s="1"/>
      <c r="H128" s="2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2:33" ht="13.2" x14ac:dyDescent="0.25">
      <c r="B129" s="1"/>
      <c r="C129" s="1"/>
      <c r="D129" s="1"/>
      <c r="E129" s="1"/>
      <c r="F129" s="1"/>
      <c r="G129" s="1"/>
      <c r="H129" s="2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2:33" ht="13.2" x14ac:dyDescent="0.25">
      <c r="B130" s="1"/>
      <c r="C130" s="1"/>
      <c r="D130" s="1"/>
      <c r="E130" s="1"/>
      <c r="F130" s="1"/>
      <c r="G130" s="1"/>
      <c r="H130" s="2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2:33" ht="13.2" x14ac:dyDescent="0.25">
      <c r="B131" s="1"/>
      <c r="C131" s="1"/>
      <c r="D131" s="1"/>
      <c r="E131" s="1"/>
      <c r="F131" s="1"/>
      <c r="G131" s="1"/>
      <c r="H131" s="2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2:33" ht="13.2" x14ac:dyDescent="0.25">
      <c r="B132" s="1"/>
      <c r="C132" s="1"/>
      <c r="D132" s="1"/>
      <c r="E132" s="1"/>
      <c r="F132" s="1"/>
      <c r="G132" s="1"/>
      <c r="H132" s="2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2:33" ht="13.2" x14ac:dyDescent="0.25">
      <c r="B133" s="1"/>
      <c r="C133" s="1"/>
      <c r="D133" s="1"/>
      <c r="E133" s="1"/>
      <c r="F133" s="1"/>
      <c r="G133" s="1"/>
      <c r="H133" s="2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2:33" ht="13.2" x14ac:dyDescent="0.25">
      <c r="B134" s="1"/>
      <c r="C134" s="1"/>
      <c r="D134" s="1"/>
      <c r="E134" s="1"/>
      <c r="F134" s="1"/>
      <c r="G134" s="1"/>
      <c r="H134" s="2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2:33" ht="13.2" x14ac:dyDescent="0.25">
      <c r="B135" s="1"/>
      <c r="C135" s="1"/>
      <c r="D135" s="1"/>
      <c r="E135" s="1"/>
      <c r="F135" s="1"/>
      <c r="G135" s="1"/>
      <c r="H135" s="2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2:33" ht="13.2" x14ac:dyDescent="0.25">
      <c r="B136" s="1"/>
      <c r="C136" s="1"/>
      <c r="D136" s="1"/>
      <c r="E136" s="1"/>
      <c r="F136" s="1"/>
      <c r="G136" s="1"/>
      <c r="H136" s="2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2:33" ht="13.2" x14ac:dyDescent="0.25">
      <c r="B137" s="1"/>
      <c r="C137" s="1"/>
      <c r="D137" s="1"/>
      <c r="E137" s="1"/>
      <c r="F137" s="1"/>
      <c r="G137" s="1"/>
      <c r="H137" s="2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2:33" ht="13.2" x14ac:dyDescent="0.25">
      <c r="B138" s="1"/>
      <c r="C138" s="1"/>
      <c r="D138" s="1"/>
      <c r="E138" s="1"/>
      <c r="F138" s="1"/>
      <c r="G138" s="1"/>
      <c r="H138" s="2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2:33" ht="13.2" x14ac:dyDescent="0.25">
      <c r="B139" s="1"/>
      <c r="C139" s="1"/>
      <c r="D139" s="1"/>
      <c r="E139" s="1"/>
      <c r="F139" s="1"/>
      <c r="G139" s="1"/>
      <c r="H139" s="2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2:33" ht="13.2" x14ac:dyDescent="0.25">
      <c r="B140" s="1"/>
      <c r="C140" s="1"/>
      <c r="D140" s="1"/>
      <c r="E140" s="1"/>
      <c r="F140" s="1"/>
      <c r="G140" s="1"/>
      <c r="H140" s="2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2:33" ht="13.2" x14ac:dyDescent="0.25">
      <c r="B141" s="1"/>
      <c r="C141" s="1"/>
      <c r="D141" s="1"/>
      <c r="E141" s="1"/>
      <c r="F141" s="1"/>
      <c r="G141" s="1"/>
      <c r="H141" s="2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2:33" ht="13.2" x14ac:dyDescent="0.25">
      <c r="B142" s="1"/>
      <c r="C142" s="1"/>
      <c r="D142" s="1"/>
      <c r="E142" s="1"/>
      <c r="F142" s="1"/>
      <c r="G142" s="1"/>
      <c r="H142" s="2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2:33" ht="13.2" x14ac:dyDescent="0.25">
      <c r="B143" s="1"/>
      <c r="C143" s="1"/>
      <c r="D143" s="1"/>
      <c r="E143" s="1"/>
      <c r="F143" s="1"/>
      <c r="G143" s="1"/>
      <c r="H143" s="2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2:33" ht="13.2" x14ac:dyDescent="0.25">
      <c r="B144" s="1"/>
      <c r="C144" s="1"/>
      <c r="D144" s="1"/>
      <c r="E144" s="1"/>
      <c r="F144" s="1"/>
      <c r="G144" s="1"/>
      <c r="H144" s="2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2:33" ht="13.2" x14ac:dyDescent="0.25">
      <c r="B145" s="1"/>
      <c r="C145" s="1"/>
      <c r="D145" s="1"/>
      <c r="E145" s="1"/>
      <c r="F145" s="1"/>
      <c r="G145" s="1"/>
      <c r="H145" s="2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2:33" ht="13.2" x14ac:dyDescent="0.25">
      <c r="B146" s="1"/>
      <c r="C146" s="1"/>
      <c r="D146" s="1"/>
      <c r="E146" s="1"/>
      <c r="F146" s="1"/>
      <c r="G146" s="1"/>
      <c r="H146" s="2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2:33" ht="13.2" x14ac:dyDescent="0.25">
      <c r="B147" s="1"/>
      <c r="C147" s="1"/>
      <c r="D147" s="1"/>
      <c r="E147" s="1"/>
      <c r="F147" s="1"/>
      <c r="G147" s="1"/>
      <c r="H147" s="2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2:33" ht="13.2" x14ac:dyDescent="0.25">
      <c r="B148" s="1"/>
      <c r="C148" s="1"/>
      <c r="D148" s="1"/>
      <c r="E148" s="1"/>
      <c r="F148" s="1"/>
      <c r="G148" s="1"/>
      <c r="H148" s="2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2:33" ht="13.2" x14ac:dyDescent="0.25">
      <c r="B149" s="1"/>
      <c r="C149" s="1"/>
      <c r="D149" s="1"/>
      <c r="E149" s="1"/>
      <c r="F149" s="1"/>
      <c r="G149" s="1"/>
      <c r="H149" s="2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2:33" ht="13.2" x14ac:dyDescent="0.25">
      <c r="B150" s="1"/>
      <c r="C150" s="1"/>
      <c r="D150" s="1"/>
      <c r="E150" s="1"/>
      <c r="F150" s="1"/>
      <c r="G150" s="1"/>
      <c r="H150" s="2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2:33" ht="13.2" x14ac:dyDescent="0.25">
      <c r="B151" s="1"/>
      <c r="C151" s="1"/>
      <c r="D151" s="1"/>
      <c r="E151" s="1"/>
      <c r="F151" s="1"/>
      <c r="G151" s="1"/>
      <c r="H151" s="2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2:33" ht="13.2" x14ac:dyDescent="0.25">
      <c r="B152" s="1"/>
      <c r="C152" s="1"/>
      <c r="D152" s="1"/>
      <c r="E152" s="1"/>
      <c r="F152" s="1"/>
      <c r="G152" s="1"/>
      <c r="H152" s="2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2:33" ht="13.2" x14ac:dyDescent="0.25">
      <c r="B153" s="1"/>
      <c r="C153" s="1"/>
      <c r="D153" s="1"/>
      <c r="E153" s="1"/>
      <c r="F153" s="1"/>
      <c r="G153" s="1"/>
      <c r="H153" s="2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2:33" ht="13.2" x14ac:dyDescent="0.25">
      <c r="B154" s="1"/>
      <c r="C154" s="1"/>
      <c r="D154" s="1"/>
      <c r="E154" s="1"/>
      <c r="F154" s="1"/>
      <c r="G154" s="1"/>
      <c r="H154" s="2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2:33" ht="13.2" x14ac:dyDescent="0.25">
      <c r="B155" s="1"/>
      <c r="C155" s="1"/>
      <c r="D155" s="1"/>
      <c r="E155" s="1"/>
      <c r="F155" s="1"/>
      <c r="G155" s="1"/>
      <c r="H155" s="2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2:33" ht="13.2" x14ac:dyDescent="0.25">
      <c r="B156" s="1"/>
      <c r="C156" s="1"/>
      <c r="D156" s="1"/>
      <c r="E156" s="1"/>
      <c r="F156" s="1"/>
      <c r="G156" s="1"/>
      <c r="H156" s="2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2:33" ht="13.2" x14ac:dyDescent="0.25">
      <c r="B157" s="1"/>
      <c r="C157" s="1"/>
      <c r="D157" s="1"/>
      <c r="E157" s="1"/>
      <c r="F157" s="1"/>
      <c r="G157" s="1"/>
      <c r="H157" s="2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2:33" ht="13.2" x14ac:dyDescent="0.25">
      <c r="B158" s="1"/>
      <c r="C158" s="1"/>
      <c r="D158" s="1"/>
      <c r="E158" s="1"/>
      <c r="F158" s="1"/>
      <c r="G158" s="1"/>
      <c r="H158" s="2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2:33" ht="13.2" x14ac:dyDescent="0.25">
      <c r="B159" s="1"/>
      <c r="C159" s="1"/>
      <c r="D159" s="1"/>
      <c r="E159" s="1"/>
      <c r="F159" s="1"/>
      <c r="G159" s="1"/>
      <c r="H159" s="2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2:33" ht="13.2" x14ac:dyDescent="0.25">
      <c r="B160" s="1"/>
      <c r="C160" s="1"/>
      <c r="D160" s="1"/>
      <c r="E160" s="1"/>
      <c r="F160" s="1"/>
      <c r="G160" s="1"/>
      <c r="H160" s="2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2:33" ht="13.2" x14ac:dyDescent="0.25">
      <c r="B161" s="1"/>
      <c r="C161" s="1"/>
      <c r="D161" s="1"/>
      <c r="E161" s="1"/>
      <c r="F161" s="1"/>
      <c r="G161" s="1"/>
      <c r="H161" s="2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2:33" ht="13.2" x14ac:dyDescent="0.25">
      <c r="B162" s="1"/>
      <c r="C162" s="1"/>
      <c r="D162" s="1"/>
      <c r="E162" s="1"/>
      <c r="F162" s="1"/>
      <c r="G162" s="1"/>
      <c r="H162" s="2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2:33" ht="13.2" x14ac:dyDescent="0.25">
      <c r="B163" s="1"/>
      <c r="C163" s="1"/>
      <c r="D163" s="1"/>
      <c r="E163" s="1"/>
      <c r="F163" s="1"/>
      <c r="G163" s="1"/>
      <c r="H163" s="2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2:33" ht="13.2" x14ac:dyDescent="0.25">
      <c r="B164" s="1"/>
      <c r="C164" s="1"/>
      <c r="D164" s="1"/>
      <c r="E164" s="1"/>
      <c r="F164" s="1"/>
      <c r="G164" s="1"/>
      <c r="H164" s="2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2:33" ht="13.2" x14ac:dyDescent="0.25">
      <c r="B165" s="1"/>
      <c r="C165" s="1"/>
      <c r="D165" s="1"/>
      <c r="E165" s="1"/>
      <c r="F165" s="1"/>
      <c r="G165" s="1"/>
      <c r="H165" s="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2:33" ht="13.2" x14ac:dyDescent="0.25">
      <c r="B166" s="1"/>
      <c r="C166" s="1"/>
      <c r="D166" s="1"/>
      <c r="E166" s="1"/>
      <c r="F166" s="1"/>
      <c r="G166" s="1"/>
      <c r="H166" s="2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2:33" ht="13.2" x14ac:dyDescent="0.25">
      <c r="B167" s="1"/>
      <c r="C167" s="1"/>
      <c r="D167" s="1"/>
      <c r="E167" s="1"/>
      <c r="F167" s="1"/>
      <c r="G167" s="1"/>
      <c r="H167" s="2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2:33" ht="13.2" x14ac:dyDescent="0.25">
      <c r="B168" s="1"/>
      <c r="C168" s="1"/>
      <c r="D168" s="1"/>
      <c r="E168" s="1"/>
      <c r="F168" s="1"/>
      <c r="G168" s="1"/>
      <c r="H168" s="2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2:33" ht="13.2" x14ac:dyDescent="0.25">
      <c r="B169" s="1"/>
      <c r="C169" s="1"/>
      <c r="D169" s="1"/>
      <c r="E169" s="1"/>
      <c r="F169" s="1"/>
      <c r="G169" s="1"/>
      <c r="H169" s="2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2:33" ht="13.2" x14ac:dyDescent="0.25">
      <c r="B170" s="1"/>
      <c r="C170" s="1"/>
      <c r="D170" s="1"/>
      <c r="E170" s="1"/>
      <c r="F170" s="1"/>
      <c r="G170" s="1"/>
      <c r="H170" s="2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2:33" ht="13.2" x14ac:dyDescent="0.25">
      <c r="B171" s="1"/>
      <c r="C171" s="1"/>
      <c r="D171" s="1"/>
      <c r="E171" s="1"/>
      <c r="F171" s="1"/>
      <c r="G171" s="1"/>
      <c r="H171" s="2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2:33" ht="13.2" x14ac:dyDescent="0.25">
      <c r="B172" s="1"/>
      <c r="C172" s="1"/>
      <c r="D172" s="1"/>
      <c r="E172" s="1"/>
      <c r="F172" s="1"/>
      <c r="G172" s="1"/>
      <c r="H172" s="2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2:33" ht="13.2" x14ac:dyDescent="0.25">
      <c r="B173" s="1"/>
      <c r="C173" s="1"/>
      <c r="D173" s="1"/>
      <c r="E173" s="1"/>
      <c r="F173" s="1"/>
      <c r="G173" s="1"/>
      <c r="H173" s="2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2:33" ht="13.2" x14ac:dyDescent="0.25">
      <c r="B174" s="1"/>
      <c r="C174" s="1"/>
      <c r="D174" s="1"/>
      <c r="E174" s="1"/>
      <c r="F174" s="1"/>
      <c r="G174" s="1"/>
      <c r="H174" s="2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2:33" ht="13.2" x14ac:dyDescent="0.25">
      <c r="B175" s="1"/>
      <c r="C175" s="1"/>
      <c r="D175" s="1"/>
      <c r="E175" s="1"/>
      <c r="F175" s="1"/>
      <c r="G175" s="1"/>
      <c r="H175" s="2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2:33" ht="13.2" x14ac:dyDescent="0.25">
      <c r="B176" s="1"/>
      <c r="C176" s="1"/>
      <c r="D176" s="1"/>
      <c r="E176" s="1"/>
      <c r="F176" s="1"/>
      <c r="G176" s="1"/>
      <c r="H176" s="2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2:33" ht="13.2" x14ac:dyDescent="0.25">
      <c r="B177" s="1"/>
      <c r="C177" s="1"/>
      <c r="D177" s="1"/>
      <c r="E177" s="1"/>
      <c r="F177" s="1"/>
      <c r="G177" s="1"/>
      <c r="H177" s="2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2:33" ht="13.2" x14ac:dyDescent="0.25">
      <c r="B178" s="1"/>
      <c r="C178" s="1"/>
      <c r="D178" s="1"/>
      <c r="E178" s="1"/>
      <c r="F178" s="1"/>
      <c r="G178" s="1"/>
      <c r="H178" s="2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2:33" ht="13.2" x14ac:dyDescent="0.25">
      <c r="B179" s="1"/>
      <c r="C179" s="1"/>
      <c r="D179" s="1"/>
      <c r="E179" s="1"/>
      <c r="F179" s="1"/>
      <c r="G179" s="1"/>
      <c r="H179" s="2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2:33" ht="13.2" x14ac:dyDescent="0.25">
      <c r="B180" s="1"/>
      <c r="C180" s="1"/>
      <c r="D180" s="1"/>
      <c r="E180" s="1"/>
      <c r="F180" s="1"/>
      <c r="G180" s="1"/>
      <c r="H180" s="2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2:33" ht="13.2" x14ac:dyDescent="0.25">
      <c r="B181" s="1"/>
      <c r="C181" s="1"/>
      <c r="D181" s="1"/>
      <c r="E181" s="1"/>
      <c r="F181" s="1"/>
      <c r="G181" s="1"/>
      <c r="H181" s="2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2:33" ht="13.2" x14ac:dyDescent="0.25">
      <c r="B182" s="1"/>
      <c r="C182" s="1"/>
      <c r="D182" s="1"/>
      <c r="E182" s="1"/>
      <c r="F182" s="1"/>
      <c r="G182" s="1"/>
      <c r="H182" s="2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2:33" ht="13.2" x14ac:dyDescent="0.25">
      <c r="B183" s="1"/>
      <c r="C183" s="1"/>
      <c r="D183" s="1"/>
      <c r="E183" s="1"/>
      <c r="F183" s="1"/>
      <c r="G183" s="1"/>
      <c r="H183" s="2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2:33" ht="13.2" x14ac:dyDescent="0.25">
      <c r="B184" s="1"/>
      <c r="C184" s="1"/>
      <c r="D184" s="1"/>
      <c r="E184" s="1"/>
      <c r="F184" s="1"/>
      <c r="G184" s="1"/>
      <c r="H184" s="2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2:33" ht="13.2" x14ac:dyDescent="0.25">
      <c r="B185" s="1"/>
      <c r="C185" s="1"/>
      <c r="D185" s="1"/>
      <c r="E185" s="1"/>
      <c r="F185" s="1"/>
      <c r="G185" s="1"/>
      <c r="H185" s="2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2:33" ht="13.2" x14ac:dyDescent="0.25">
      <c r="B186" s="1"/>
      <c r="C186" s="1"/>
      <c r="D186" s="1"/>
      <c r="E186" s="1"/>
      <c r="F186" s="1"/>
      <c r="G186" s="1"/>
      <c r="H186" s="2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2:33" ht="13.2" x14ac:dyDescent="0.25">
      <c r="B187" s="1"/>
      <c r="C187" s="1"/>
      <c r="D187" s="1"/>
      <c r="E187" s="1"/>
      <c r="F187" s="1"/>
      <c r="G187" s="1"/>
      <c r="H187" s="2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2:33" ht="13.2" x14ac:dyDescent="0.25">
      <c r="B188" s="1"/>
      <c r="C188" s="1"/>
      <c r="D188" s="1"/>
      <c r="E188" s="1"/>
      <c r="F188" s="1"/>
      <c r="G188" s="1"/>
      <c r="H188" s="2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2:33" ht="13.2" x14ac:dyDescent="0.25">
      <c r="B189" s="1"/>
      <c r="C189" s="1"/>
      <c r="D189" s="1"/>
      <c r="E189" s="1"/>
      <c r="F189" s="1"/>
      <c r="G189" s="1"/>
      <c r="H189" s="2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2:33" ht="13.2" x14ac:dyDescent="0.25">
      <c r="B190" s="1"/>
      <c r="C190" s="1"/>
      <c r="D190" s="1"/>
      <c r="E190" s="1"/>
      <c r="F190" s="1"/>
      <c r="G190" s="1"/>
      <c r="H190" s="2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2:33" ht="13.2" x14ac:dyDescent="0.25">
      <c r="B191" s="1"/>
      <c r="C191" s="1"/>
      <c r="D191" s="1"/>
      <c r="E191" s="1"/>
      <c r="F191" s="1"/>
      <c r="G191" s="1"/>
      <c r="H191" s="2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2:33" ht="13.2" x14ac:dyDescent="0.25">
      <c r="B192" s="1"/>
      <c r="C192" s="1"/>
      <c r="D192" s="1"/>
      <c r="E192" s="1"/>
      <c r="F192" s="1"/>
      <c r="G192" s="1"/>
      <c r="H192" s="2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2:33" ht="13.2" x14ac:dyDescent="0.25">
      <c r="B193" s="1"/>
      <c r="C193" s="1"/>
      <c r="D193" s="1"/>
      <c r="E193" s="1"/>
      <c r="F193" s="1"/>
      <c r="G193" s="1"/>
      <c r="H193" s="2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2:33" ht="13.2" x14ac:dyDescent="0.25">
      <c r="B194" s="1"/>
      <c r="C194" s="1"/>
      <c r="D194" s="1"/>
      <c r="E194" s="1"/>
      <c r="F194" s="1"/>
      <c r="G194" s="1"/>
      <c r="H194" s="2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2:33" ht="13.2" x14ac:dyDescent="0.25">
      <c r="B195" s="1"/>
      <c r="C195" s="1"/>
      <c r="D195" s="1"/>
      <c r="E195" s="1"/>
      <c r="F195" s="1"/>
      <c r="G195" s="1"/>
      <c r="H195" s="2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2:33" ht="13.2" x14ac:dyDescent="0.25">
      <c r="B196" s="1"/>
      <c r="C196" s="1"/>
      <c r="D196" s="1"/>
      <c r="E196" s="1"/>
      <c r="F196" s="1"/>
      <c r="G196" s="1"/>
      <c r="H196" s="2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2:33" ht="13.2" x14ac:dyDescent="0.25">
      <c r="B197" s="1"/>
      <c r="C197" s="1"/>
      <c r="D197" s="1"/>
      <c r="E197" s="1"/>
      <c r="F197" s="1"/>
      <c r="G197" s="1"/>
      <c r="H197" s="2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2:33" ht="13.2" x14ac:dyDescent="0.25">
      <c r="B198" s="1"/>
      <c r="C198" s="1"/>
      <c r="D198" s="1"/>
      <c r="E198" s="1"/>
      <c r="F198" s="1"/>
      <c r="G198" s="1"/>
      <c r="H198" s="2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2:33" ht="13.2" x14ac:dyDescent="0.25">
      <c r="B199" s="1"/>
      <c r="C199" s="1"/>
      <c r="D199" s="1"/>
      <c r="E199" s="1"/>
      <c r="F199" s="1"/>
      <c r="G199" s="1"/>
      <c r="H199" s="2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2:33" ht="13.2" x14ac:dyDescent="0.25">
      <c r="B200" s="1"/>
      <c r="C200" s="1"/>
      <c r="D200" s="1"/>
      <c r="E200" s="1"/>
      <c r="F200" s="1"/>
      <c r="G200" s="1"/>
      <c r="H200" s="2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2:33" ht="13.2" x14ac:dyDescent="0.25">
      <c r="B201" s="1"/>
      <c r="C201" s="1"/>
      <c r="D201" s="1"/>
      <c r="E201" s="1"/>
      <c r="F201" s="1"/>
      <c r="G201" s="1"/>
      <c r="H201" s="2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2:33" ht="13.2" x14ac:dyDescent="0.25">
      <c r="B202" s="1"/>
      <c r="C202" s="1"/>
      <c r="D202" s="1"/>
      <c r="E202" s="1"/>
      <c r="F202" s="1"/>
      <c r="G202" s="1"/>
      <c r="H202" s="2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2:33" ht="13.2" x14ac:dyDescent="0.25">
      <c r="B203" s="1"/>
      <c r="C203" s="1"/>
      <c r="D203" s="1"/>
      <c r="E203" s="1"/>
      <c r="F203" s="1"/>
      <c r="G203" s="1"/>
      <c r="H203" s="2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2:33" ht="13.2" x14ac:dyDescent="0.25">
      <c r="B204" s="1"/>
      <c r="C204" s="1"/>
      <c r="D204" s="1"/>
      <c r="E204" s="1"/>
      <c r="F204" s="1"/>
      <c r="G204" s="1"/>
      <c r="H204" s="2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2:33" ht="13.2" x14ac:dyDescent="0.25">
      <c r="B205" s="1"/>
      <c r="C205" s="1"/>
      <c r="D205" s="1"/>
      <c r="E205" s="1"/>
      <c r="F205" s="1"/>
      <c r="G205" s="1"/>
      <c r="H205" s="2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2:33" ht="13.2" x14ac:dyDescent="0.25">
      <c r="B206" s="1"/>
      <c r="C206" s="1"/>
      <c r="D206" s="1"/>
      <c r="E206" s="1"/>
      <c r="F206" s="1"/>
      <c r="G206" s="1"/>
      <c r="H206" s="2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2:33" ht="13.2" x14ac:dyDescent="0.25">
      <c r="B207" s="1"/>
      <c r="C207" s="1"/>
      <c r="D207" s="1"/>
      <c r="E207" s="1"/>
      <c r="F207" s="1"/>
      <c r="G207" s="1"/>
      <c r="H207" s="2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2:33" ht="13.2" x14ac:dyDescent="0.25">
      <c r="B208" s="1"/>
      <c r="C208" s="1"/>
      <c r="D208" s="1"/>
      <c r="E208" s="1"/>
      <c r="F208" s="1"/>
      <c r="G208" s="1"/>
      <c r="H208" s="2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2:33" ht="13.2" x14ac:dyDescent="0.25">
      <c r="B209" s="1"/>
      <c r="C209" s="1"/>
      <c r="D209" s="1"/>
      <c r="E209" s="1"/>
      <c r="F209" s="1"/>
      <c r="G209" s="1"/>
      <c r="H209" s="2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2:33" ht="13.2" x14ac:dyDescent="0.25">
      <c r="B210" s="1"/>
      <c r="C210" s="1"/>
      <c r="D210" s="1"/>
      <c r="E210" s="1"/>
      <c r="F210" s="1"/>
      <c r="G210" s="1"/>
      <c r="H210" s="2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2:33" ht="13.2" x14ac:dyDescent="0.25">
      <c r="B211" s="1"/>
      <c r="C211" s="1"/>
      <c r="D211" s="1"/>
      <c r="E211" s="1"/>
      <c r="F211" s="1"/>
      <c r="G211" s="1"/>
      <c r="H211" s="2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2:33" ht="13.2" x14ac:dyDescent="0.25">
      <c r="B212" s="1"/>
      <c r="C212" s="1"/>
      <c r="D212" s="1"/>
      <c r="E212" s="1"/>
      <c r="F212" s="1"/>
      <c r="G212" s="1"/>
      <c r="H212" s="2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2:33" ht="13.2" x14ac:dyDescent="0.25">
      <c r="B213" s="1"/>
      <c r="C213" s="1"/>
      <c r="D213" s="1"/>
      <c r="E213" s="1"/>
      <c r="F213" s="1"/>
      <c r="G213" s="1"/>
      <c r="H213" s="2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2:33" ht="13.2" x14ac:dyDescent="0.25">
      <c r="B214" s="1"/>
      <c r="C214" s="1"/>
      <c r="D214" s="1"/>
      <c r="E214" s="1"/>
      <c r="F214" s="1"/>
      <c r="G214" s="1"/>
      <c r="H214" s="2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2:33" ht="13.2" x14ac:dyDescent="0.25">
      <c r="B215" s="1"/>
      <c r="C215" s="1"/>
      <c r="D215" s="1"/>
      <c r="E215" s="1"/>
      <c r="F215" s="1"/>
      <c r="G215" s="1"/>
      <c r="H215" s="2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2:33" ht="13.2" x14ac:dyDescent="0.25">
      <c r="B216" s="1"/>
      <c r="C216" s="1"/>
      <c r="D216" s="1"/>
      <c r="E216" s="1"/>
      <c r="F216" s="1"/>
      <c r="G216" s="1"/>
      <c r="H216" s="2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2:33" ht="13.2" x14ac:dyDescent="0.25">
      <c r="B217" s="1"/>
      <c r="C217" s="1"/>
      <c r="D217" s="1"/>
      <c r="E217" s="1"/>
      <c r="F217" s="1"/>
      <c r="G217" s="1"/>
      <c r="H217" s="2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2:33" ht="13.2" x14ac:dyDescent="0.25">
      <c r="B218" s="1"/>
      <c r="C218" s="1"/>
      <c r="D218" s="1"/>
      <c r="E218" s="1"/>
      <c r="F218" s="1"/>
      <c r="G218" s="1"/>
      <c r="H218" s="2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2:33" ht="13.2" x14ac:dyDescent="0.25">
      <c r="B219" s="1"/>
      <c r="C219" s="1"/>
      <c r="D219" s="1"/>
      <c r="E219" s="1"/>
      <c r="F219" s="1"/>
      <c r="G219" s="1"/>
      <c r="H219" s="2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2:33" ht="13.2" x14ac:dyDescent="0.25">
      <c r="B220" s="1"/>
      <c r="C220" s="1"/>
      <c r="D220" s="1"/>
      <c r="E220" s="1"/>
      <c r="F220" s="1"/>
      <c r="G220" s="1"/>
      <c r="H220" s="2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2:33" ht="13.2" x14ac:dyDescent="0.25">
      <c r="B221" s="1"/>
      <c r="C221" s="1"/>
      <c r="D221" s="1"/>
      <c r="E221" s="1"/>
      <c r="F221" s="1"/>
      <c r="G221" s="1"/>
      <c r="H221" s="2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2:33" ht="13.2" x14ac:dyDescent="0.25">
      <c r="B222" s="1"/>
      <c r="C222" s="1"/>
      <c r="D222" s="1"/>
      <c r="E222" s="1"/>
      <c r="F222" s="1"/>
      <c r="G222" s="1"/>
      <c r="H222" s="2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2:33" ht="13.2" x14ac:dyDescent="0.25">
      <c r="B223" s="1"/>
      <c r="C223" s="1"/>
      <c r="D223" s="1"/>
      <c r="E223" s="1"/>
      <c r="F223" s="1"/>
      <c r="G223" s="1"/>
      <c r="H223" s="2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2:33" ht="13.2" x14ac:dyDescent="0.25">
      <c r="B224" s="1"/>
      <c r="C224" s="1"/>
      <c r="D224" s="1"/>
      <c r="E224" s="1"/>
      <c r="F224" s="1"/>
      <c r="G224" s="1"/>
      <c r="H224" s="2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2:33" ht="13.2" x14ac:dyDescent="0.25">
      <c r="B225" s="1"/>
      <c r="C225" s="1"/>
      <c r="D225" s="1"/>
      <c r="E225" s="1"/>
      <c r="F225" s="1"/>
      <c r="G225" s="1"/>
      <c r="H225" s="2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2:33" ht="13.2" x14ac:dyDescent="0.25">
      <c r="B226" s="1"/>
      <c r="C226" s="1"/>
      <c r="D226" s="1"/>
      <c r="E226" s="1"/>
      <c r="F226" s="1"/>
      <c r="G226" s="1"/>
      <c r="H226" s="2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2:33" ht="13.2" x14ac:dyDescent="0.25">
      <c r="B227" s="1"/>
      <c r="C227" s="1"/>
      <c r="D227" s="1"/>
      <c r="E227" s="1"/>
      <c r="F227" s="1"/>
      <c r="G227" s="1"/>
      <c r="H227" s="2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2:33" ht="13.2" x14ac:dyDescent="0.25">
      <c r="B228" s="1"/>
      <c r="C228" s="1"/>
      <c r="D228" s="1"/>
      <c r="E228" s="1"/>
      <c r="F228" s="1"/>
      <c r="G228" s="1"/>
      <c r="H228" s="2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2:33" ht="13.2" x14ac:dyDescent="0.25">
      <c r="B229" s="1"/>
      <c r="C229" s="1"/>
      <c r="D229" s="1"/>
      <c r="E229" s="1"/>
      <c r="F229" s="1"/>
      <c r="G229" s="1"/>
      <c r="H229" s="2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2:33" ht="13.2" x14ac:dyDescent="0.25">
      <c r="B230" s="1"/>
      <c r="C230" s="1"/>
      <c r="D230" s="1"/>
      <c r="E230" s="1"/>
      <c r="F230" s="1"/>
      <c r="G230" s="1"/>
      <c r="H230" s="2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2:33" ht="13.2" x14ac:dyDescent="0.25">
      <c r="B231" s="1"/>
      <c r="C231" s="1"/>
      <c r="D231" s="1"/>
      <c r="E231" s="1"/>
      <c r="F231" s="1"/>
      <c r="G231" s="1"/>
      <c r="H231" s="2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2:33" ht="13.2" x14ac:dyDescent="0.25">
      <c r="B232" s="1"/>
      <c r="C232" s="1"/>
      <c r="D232" s="1"/>
      <c r="E232" s="1"/>
      <c r="F232" s="1"/>
      <c r="G232" s="1"/>
      <c r="H232" s="2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2:33" ht="13.2" x14ac:dyDescent="0.25">
      <c r="B233" s="1"/>
      <c r="C233" s="1"/>
      <c r="D233" s="1"/>
      <c r="E233" s="1"/>
      <c r="F233" s="1"/>
      <c r="G233" s="1"/>
      <c r="H233" s="2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2:33" ht="13.2" x14ac:dyDescent="0.25">
      <c r="B234" s="1"/>
      <c r="C234" s="1"/>
      <c r="D234" s="1"/>
      <c r="E234" s="1"/>
      <c r="F234" s="1"/>
      <c r="G234" s="1"/>
      <c r="H234" s="2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2:33" ht="13.2" x14ac:dyDescent="0.25">
      <c r="B235" s="1"/>
      <c r="C235" s="1"/>
      <c r="D235" s="1"/>
      <c r="E235" s="1"/>
      <c r="F235" s="1"/>
      <c r="G235" s="1"/>
      <c r="H235" s="2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2:33" ht="13.2" x14ac:dyDescent="0.25">
      <c r="B236" s="1"/>
      <c r="C236" s="1"/>
      <c r="D236" s="1"/>
      <c r="E236" s="1"/>
      <c r="F236" s="1"/>
      <c r="G236" s="1"/>
      <c r="H236" s="2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2:33" ht="13.2" x14ac:dyDescent="0.25">
      <c r="B237" s="1"/>
      <c r="C237" s="1"/>
      <c r="D237" s="1"/>
      <c r="E237" s="1"/>
      <c r="F237" s="1"/>
      <c r="G237" s="1"/>
      <c r="H237" s="2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2:33" ht="13.2" x14ac:dyDescent="0.25">
      <c r="B238" s="1"/>
      <c r="C238" s="1"/>
      <c r="D238" s="1"/>
      <c r="E238" s="1"/>
      <c r="F238" s="1"/>
      <c r="G238" s="1"/>
      <c r="H238" s="2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2:33" ht="13.2" x14ac:dyDescent="0.25">
      <c r="B239" s="1"/>
      <c r="C239" s="1"/>
      <c r="D239" s="1"/>
      <c r="E239" s="1"/>
      <c r="F239" s="1"/>
      <c r="G239" s="1"/>
      <c r="H239" s="2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2:33" ht="13.2" x14ac:dyDescent="0.25">
      <c r="B240" s="1"/>
      <c r="C240" s="1"/>
      <c r="D240" s="1"/>
      <c r="E240" s="1"/>
      <c r="F240" s="1"/>
      <c r="G240" s="1"/>
      <c r="H240" s="2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2:33" ht="13.2" x14ac:dyDescent="0.25">
      <c r="B241" s="1"/>
      <c r="C241" s="1"/>
      <c r="D241" s="1"/>
      <c r="E241" s="1"/>
      <c r="F241" s="1"/>
      <c r="G241" s="1"/>
      <c r="H241" s="2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2:33" ht="13.2" x14ac:dyDescent="0.25">
      <c r="B242" s="1"/>
      <c r="C242" s="1"/>
      <c r="D242" s="1"/>
      <c r="E242" s="1"/>
      <c r="F242" s="1"/>
      <c r="G242" s="1"/>
      <c r="H242" s="2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2:33" ht="13.2" x14ac:dyDescent="0.25">
      <c r="B243" s="1"/>
      <c r="C243" s="1"/>
      <c r="D243" s="1"/>
      <c r="E243" s="1"/>
      <c r="F243" s="1"/>
      <c r="G243" s="1"/>
      <c r="H243" s="2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2:33" ht="13.2" x14ac:dyDescent="0.25">
      <c r="B244" s="1"/>
      <c r="C244" s="1"/>
      <c r="D244" s="1"/>
      <c r="E244" s="1"/>
      <c r="F244" s="1"/>
      <c r="G244" s="1"/>
      <c r="H244" s="2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2:33" ht="13.2" x14ac:dyDescent="0.25">
      <c r="B245" s="1"/>
      <c r="C245" s="1"/>
      <c r="D245" s="1"/>
      <c r="E245" s="1"/>
      <c r="F245" s="1"/>
      <c r="G245" s="1"/>
      <c r="H245" s="2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2:33" ht="13.2" x14ac:dyDescent="0.25">
      <c r="B246" s="1"/>
      <c r="C246" s="1"/>
      <c r="D246" s="1"/>
      <c r="E246" s="1"/>
      <c r="F246" s="1"/>
      <c r="G246" s="1"/>
      <c r="H246" s="2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2:33" ht="13.2" x14ac:dyDescent="0.25">
      <c r="B247" s="1"/>
      <c r="C247" s="1"/>
      <c r="D247" s="1"/>
      <c r="E247" s="1"/>
      <c r="F247" s="1"/>
      <c r="G247" s="1"/>
      <c r="H247" s="2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2:33" ht="13.2" x14ac:dyDescent="0.25">
      <c r="B248" s="1"/>
      <c r="C248" s="1"/>
      <c r="D248" s="1"/>
      <c r="E248" s="1"/>
      <c r="F248" s="1"/>
      <c r="G248" s="1"/>
      <c r="H248" s="2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2:33" ht="13.2" x14ac:dyDescent="0.25">
      <c r="B249" s="1"/>
      <c r="C249" s="1"/>
      <c r="D249" s="1"/>
      <c r="E249" s="1"/>
      <c r="F249" s="1"/>
      <c r="G249" s="1"/>
      <c r="H249" s="2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2:33" ht="13.2" x14ac:dyDescent="0.25">
      <c r="B250" s="1"/>
      <c r="C250" s="1"/>
      <c r="D250" s="1"/>
      <c r="E250" s="1"/>
      <c r="F250" s="1"/>
      <c r="G250" s="1"/>
      <c r="H250" s="2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2:33" ht="13.2" x14ac:dyDescent="0.25">
      <c r="B251" s="1"/>
      <c r="C251" s="1"/>
      <c r="D251" s="1"/>
      <c r="E251" s="1"/>
      <c r="F251" s="1"/>
      <c r="G251" s="1"/>
      <c r="H251" s="2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2:33" ht="13.2" x14ac:dyDescent="0.25">
      <c r="B252" s="1"/>
      <c r="C252" s="1"/>
      <c r="D252" s="1"/>
      <c r="E252" s="1"/>
      <c r="F252" s="1"/>
      <c r="G252" s="1"/>
      <c r="H252" s="2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2:33" ht="13.2" x14ac:dyDescent="0.25">
      <c r="B253" s="1"/>
      <c r="C253" s="1"/>
      <c r="D253" s="1"/>
      <c r="E253" s="1"/>
      <c r="F253" s="1"/>
      <c r="G253" s="1"/>
      <c r="H253" s="2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2:33" ht="13.2" x14ac:dyDescent="0.25">
      <c r="B254" s="1"/>
      <c r="C254" s="1"/>
      <c r="D254" s="1"/>
      <c r="E254" s="1"/>
      <c r="F254" s="1"/>
      <c r="G254" s="1"/>
      <c r="H254" s="2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2:33" ht="13.2" x14ac:dyDescent="0.25">
      <c r="B255" s="1"/>
      <c r="C255" s="1"/>
      <c r="D255" s="1"/>
      <c r="E255" s="1"/>
      <c r="F255" s="1"/>
      <c r="G255" s="1"/>
      <c r="H255" s="2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2:33" ht="13.2" x14ac:dyDescent="0.25">
      <c r="B256" s="1"/>
      <c r="C256" s="1"/>
      <c r="D256" s="1"/>
      <c r="E256" s="1"/>
      <c r="F256" s="1"/>
      <c r="G256" s="1"/>
      <c r="H256" s="2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2:33" ht="13.2" x14ac:dyDescent="0.25">
      <c r="B257" s="1"/>
      <c r="C257" s="1"/>
      <c r="D257" s="1"/>
      <c r="E257" s="1"/>
      <c r="F257" s="1"/>
      <c r="G257" s="1"/>
      <c r="H257" s="2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2:33" ht="13.2" x14ac:dyDescent="0.25">
      <c r="B258" s="1"/>
      <c r="C258" s="1"/>
      <c r="D258" s="1"/>
      <c r="E258" s="1"/>
      <c r="F258" s="1"/>
      <c r="G258" s="1"/>
      <c r="H258" s="2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2:33" ht="13.2" x14ac:dyDescent="0.25">
      <c r="B259" s="1"/>
      <c r="C259" s="1"/>
      <c r="D259" s="1"/>
      <c r="E259" s="1"/>
      <c r="F259" s="1"/>
      <c r="G259" s="1"/>
      <c r="H259" s="2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2:33" ht="13.2" x14ac:dyDescent="0.25">
      <c r="B260" s="1"/>
      <c r="C260" s="1"/>
      <c r="D260" s="1"/>
      <c r="E260" s="1"/>
      <c r="F260" s="1"/>
      <c r="G260" s="1"/>
      <c r="H260" s="2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2:33" ht="13.2" x14ac:dyDescent="0.25">
      <c r="B261" s="1"/>
      <c r="C261" s="1"/>
      <c r="D261" s="1"/>
      <c r="E261" s="1"/>
      <c r="F261" s="1"/>
      <c r="G261" s="1"/>
      <c r="H261" s="2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2:33" ht="13.2" x14ac:dyDescent="0.25">
      <c r="B262" s="1"/>
      <c r="C262" s="1"/>
      <c r="D262" s="1"/>
      <c r="E262" s="1"/>
      <c r="F262" s="1"/>
      <c r="G262" s="1"/>
      <c r="H262" s="2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2:33" ht="13.2" x14ac:dyDescent="0.25">
      <c r="B263" s="1"/>
      <c r="C263" s="1"/>
      <c r="D263" s="1"/>
      <c r="E263" s="1"/>
      <c r="F263" s="1"/>
      <c r="G263" s="1"/>
      <c r="H263" s="2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2:33" ht="13.2" x14ac:dyDescent="0.25">
      <c r="B264" s="1"/>
      <c r="C264" s="1"/>
      <c r="D264" s="1"/>
      <c r="E264" s="1"/>
      <c r="F264" s="1"/>
      <c r="G264" s="1"/>
      <c r="H264" s="2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2:33" ht="13.2" x14ac:dyDescent="0.25">
      <c r="B265" s="1"/>
      <c r="C265" s="1"/>
      <c r="D265" s="1"/>
      <c r="E265" s="1"/>
      <c r="F265" s="1"/>
      <c r="G265" s="1"/>
      <c r="H265" s="2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2:33" ht="13.2" x14ac:dyDescent="0.25">
      <c r="B266" s="1"/>
      <c r="C266" s="1"/>
      <c r="D266" s="1"/>
      <c r="E266" s="1"/>
      <c r="F266" s="1"/>
      <c r="G266" s="1"/>
      <c r="H266" s="2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2:33" ht="13.2" x14ac:dyDescent="0.25">
      <c r="B267" s="1"/>
      <c r="C267" s="1"/>
      <c r="D267" s="1"/>
      <c r="E267" s="1"/>
      <c r="F267" s="1"/>
      <c r="G267" s="1"/>
      <c r="H267" s="2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2:33" ht="13.2" x14ac:dyDescent="0.25">
      <c r="B268" s="1"/>
      <c r="C268" s="1"/>
      <c r="D268" s="1"/>
      <c r="E268" s="1"/>
      <c r="F268" s="1"/>
      <c r="G268" s="1"/>
      <c r="H268" s="2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2:33" ht="13.2" x14ac:dyDescent="0.25">
      <c r="B269" s="1"/>
      <c r="C269" s="1"/>
      <c r="D269" s="1"/>
      <c r="E269" s="1"/>
      <c r="F269" s="1"/>
      <c r="G269" s="1"/>
      <c r="H269" s="2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2:33" ht="13.2" x14ac:dyDescent="0.25">
      <c r="B270" s="1"/>
      <c r="C270" s="1"/>
      <c r="D270" s="1"/>
      <c r="E270" s="1"/>
      <c r="F270" s="1"/>
      <c r="G270" s="1"/>
      <c r="H270" s="2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2:33" ht="13.2" x14ac:dyDescent="0.25">
      <c r="B271" s="1"/>
      <c r="C271" s="1"/>
      <c r="D271" s="1"/>
      <c r="E271" s="1"/>
      <c r="F271" s="1"/>
      <c r="G271" s="1"/>
      <c r="H271" s="2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2:33" ht="13.2" x14ac:dyDescent="0.25">
      <c r="B272" s="1"/>
      <c r="C272" s="1"/>
      <c r="D272" s="1"/>
      <c r="E272" s="1"/>
      <c r="F272" s="1"/>
      <c r="G272" s="1"/>
      <c r="H272" s="2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2:33" ht="13.2" x14ac:dyDescent="0.25">
      <c r="B273" s="1"/>
      <c r="C273" s="1"/>
      <c r="D273" s="1"/>
      <c r="E273" s="1"/>
      <c r="F273" s="1"/>
      <c r="G273" s="1"/>
      <c r="H273" s="2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2:33" ht="13.2" x14ac:dyDescent="0.25">
      <c r="B274" s="1"/>
      <c r="C274" s="1"/>
      <c r="D274" s="1"/>
      <c r="E274" s="1"/>
      <c r="F274" s="1"/>
      <c r="G274" s="1"/>
      <c r="H274" s="2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2:33" ht="13.2" x14ac:dyDescent="0.25">
      <c r="B275" s="1"/>
      <c r="C275" s="1"/>
      <c r="D275" s="1"/>
      <c r="E275" s="1"/>
      <c r="F275" s="1"/>
      <c r="G275" s="1"/>
      <c r="H275" s="2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2:33" ht="13.2" x14ac:dyDescent="0.25">
      <c r="B276" s="1"/>
      <c r="C276" s="1"/>
      <c r="D276" s="1"/>
      <c r="E276" s="1"/>
      <c r="F276" s="1"/>
      <c r="G276" s="1"/>
      <c r="H276" s="2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2:33" ht="13.2" x14ac:dyDescent="0.25">
      <c r="B277" s="1"/>
      <c r="C277" s="1"/>
      <c r="D277" s="1"/>
      <c r="E277" s="1"/>
      <c r="F277" s="1"/>
      <c r="G277" s="1"/>
      <c r="H277" s="2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2:33" ht="13.2" x14ac:dyDescent="0.25">
      <c r="B278" s="1"/>
      <c r="C278" s="1"/>
      <c r="D278" s="1"/>
      <c r="E278" s="1"/>
      <c r="F278" s="1"/>
      <c r="G278" s="1"/>
      <c r="H278" s="2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2:33" ht="13.2" x14ac:dyDescent="0.25">
      <c r="B279" s="1"/>
      <c r="C279" s="1"/>
      <c r="D279" s="1"/>
      <c r="E279" s="1"/>
      <c r="F279" s="1"/>
      <c r="G279" s="1"/>
      <c r="H279" s="2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2:33" ht="13.2" x14ac:dyDescent="0.25">
      <c r="B280" s="1"/>
      <c r="C280" s="1"/>
      <c r="D280" s="1"/>
      <c r="E280" s="1"/>
      <c r="F280" s="1"/>
      <c r="G280" s="1"/>
      <c r="H280" s="2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2:33" ht="13.2" x14ac:dyDescent="0.25">
      <c r="B281" s="1"/>
      <c r="C281" s="1"/>
      <c r="D281" s="1"/>
      <c r="E281" s="1"/>
      <c r="F281" s="1"/>
      <c r="G281" s="1"/>
      <c r="H281" s="2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2:33" ht="13.2" x14ac:dyDescent="0.25">
      <c r="B282" s="1"/>
      <c r="C282" s="1"/>
      <c r="D282" s="1"/>
      <c r="E282" s="1"/>
      <c r="F282" s="1"/>
      <c r="G282" s="1"/>
      <c r="H282" s="2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2:33" ht="13.2" x14ac:dyDescent="0.25">
      <c r="B283" s="1"/>
      <c r="C283" s="1"/>
      <c r="D283" s="1"/>
      <c r="E283" s="1"/>
      <c r="F283" s="1"/>
      <c r="G283" s="1"/>
      <c r="H283" s="2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2:33" ht="13.2" x14ac:dyDescent="0.25">
      <c r="B284" s="1"/>
      <c r="C284" s="1"/>
      <c r="D284" s="1"/>
      <c r="E284" s="1"/>
      <c r="F284" s="1"/>
      <c r="G284" s="1"/>
      <c r="H284" s="2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2:33" ht="13.2" x14ac:dyDescent="0.25">
      <c r="B285" s="1"/>
      <c r="C285" s="1"/>
      <c r="D285" s="1"/>
      <c r="E285" s="1"/>
      <c r="F285" s="1"/>
      <c r="G285" s="1"/>
      <c r="H285" s="2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2:33" ht="13.2" x14ac:dyDescent="0.25">
      <c r="B286" s="1"/>
      <c r="C286" s="1"/>
      <c r="D286" s="1"/>
      <c r="E286" s="1"/>
      <c r="F286" s="1"/>
      <c r="G286" s="1"/>
      <c r="H286" s="2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2:33" ht="13.2" x14ac:dyDescent="0.25">
      <c r="B287" s="1"/>
      <c r="C287" s="1"/>
      <c r="D287" s="1"/>
      <c r="E287" s="1"/>
      <c r="F287" s="1"/>
      <c r="G287" s="1"/>
      <c r="H287" s="2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2:33" ht="13.2" x14ac:dyDescent="0.25">
      <c r="B288" s="1"/>
      <c r="C288" s="1"/>
      <c r="D288" s="1"/>
      <c r="E288" s="1"/>
      <c r="F288" s="1"/>
      <c r="G288" s="1"/>
      <c r="H288" s="2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2:33" ht="13.2" x14ac:dyDescent="0.25">
      <c r="B289" s="1"/>
      <c r="C289" s="1"/>
      <c r="D289" s="1"/>
      <c r="E289" s="1"/>
      <c r="F289" s="1"/>
      <c r="G289" s="1"/>
      <c r="H289" s="2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2:33" ht="13.2" x14ac:dyDescent="0.25">
      <c r="B290" s="1"/>
      <c r="C290" s="1"/>
      <c r="D290" s="1"/>
      <c r="E290" s="1"/>
      <c r="F290" s="1"/>
      <c r="G290" s="1"/>
      <c r="H290" s="2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2:33" ht="13.2" x14ac:dyDescent="0.25">
      <c r="B291" s="1"/>
      <c r="C291" s="1"/>
      <c r="D291" s="1"/>
      <c r="E291" s="1"/>
      <c r="F291" s="1"/>
      <c r="G291" s="1"/>
      <c r="H291" s="2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2:33" ht="13.2" x14ac:dyDescent="0.25">
      <c r="B292" s="1"/>
      <c r="C292" s="1"/>
      <c r="D292" s="1"/>
      <c r="E292" s="1"/>
      <c r="F292" s="1"/>
      <c r="G292" s="1"/>
      <c r="H292" s="2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2:33" ht="13.2" x14ac:dyDescent="0.25">
      <c r="B293" s="1"/>
      <c r="C293" s="1"/>
      <c r="D293" s="1"/>
      <c r="E293" s="1"/>
      <c r="F293" s="1"/>
      <c r="G293" s="1"/>
      <c r="H293" s="2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2:33" ht="13.2" x14ac:dyDescent="0.25">
      <c r="B294" s="1"/>
      <c r="C294" s="1"/>
      <c r="D294" s="1"/>
      <c r="E294" s="1"/>
      <c r="F294" s="1"/>
      <c r="G294" s="1"/>
      <c r="H294" s="2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2:33" ht="13.2" x14ac:dyDescent="0.25">
      <c r="B295" s="1"/>
      <c r="C295" s="1"/>
      <c r="D295" s="1"/>
      <c r="E295" s="1"/>
      <c r="F295" s="1"/>
      <c r="G295" s="1"/>
      <c r="H295" s="2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2:33" ht="13.2" x14ac:dyDescent="0.25">
      <c r="B296" s="1"/>
      <c r="C296" s="1"/>
      <c r="D296" s="1"/>
      <c r="E296" s="1"/>
      <c r="F296" s="1"/>
      <c r="G296" s="1"/>
      <c r="H296" s="2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2:33" ht="13.2" x14ac:dyDescent="0.25">
      <c r="B297" s="1"/>
      <c r="C297" s="1"/>
      <c r="D297" s="1"/>
      <c r="E297" s="1"/>
      <c r="F297" s="1"/>
      <c r="G297" s="1"/>
      <c r="H297" s="2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2:33" ht="13.2" x14ac:dyDescent="0.25">
      <c r="B298" s="1"/>
      <c r="C298" s="1"/>
      <c r="D298" s="1"/>
      <c r="E298" s="1"/>
      <c r="F298" s="1"/>
      <c r="G298" s="1"/>
      <c r="H298" s="2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2:33" ht="13.2" x14ac:dyDescent="0.25">
      <c r="B299" s="1"/>
      <c r="C299" s="1"/>
      <c r="D299" s="1"/>
      <c r="E299" s="1"/>
      <c r="F299" s="1"/>
      <c r="G299" s="1"/>
      <c r="H299" s="2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2:33" ht="13.2" x14ac:dyDescent="0.25">
      <c r="B300" s="1"/>
      <c r="C300" s="1"/>
      <c r="D300" s="1"/>
      <c r="E300" s="1"/>
      <c r="F300" s="1"/>
      <c r="G300" s="1"/>
      <c r="H300" s="2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2:33" ht="13.2" x14ac:dyDescent="0.25">
      <c r="B301" s="1"/>
      <c r="C301" s="1"/>
      <c r="D301" s="1"/>
      <c r="E301" s="1"/>
      <c r="F301" s="1"/>
      <c r="G301" s="1"/>
      <c r="H301" s="2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2:33" ht="13.2" x14ac:dyDescent="0.25">
      <c r="B302" s="1"/>
      <c r="C302" s="1"/>
      <c r="D302" s="1"/>
      <c r="E302" s="1"/>
      <c r="F302" s="1"/>
      <c r="G302" s="1"/>
      <c r="H302" s="2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2:33" ht="13.2" x14ac:dyDescent="0.25">
      <c r="B303" s="1"/>
      <c r="C303" s="1"/>
      <c r="D303" s="1"/>
      <c r="E303" s="1"/>
      <c r="F303" s="1"/>
      <c r="G303" s="1"/>
      <c r="H303" s="2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2:33" ht="13.2" x14ac:dyDescent="0.25">
      <c r="B304" s="1"/>
      <c r="C304" s="1"/>
      <c r="D304" s="1"/>
      <c r="E304" s="1"/>
      <c r="F304" s="1"/>
      <c r="G304" s="1"/>
      <c r="H304" s="2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2:33" ht="13.2" x14ac:dyDescent="0.25">
      <c r="B305" s="1"/>
      <c r="C305" s="1"/>
      <c r="D305" s="1"/>
      <c r="E305" s="1"/>
      <c r="F305" s="1"/>
      <c r="G305" s="1"/>
      <c r="H305" s="2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2:33" ht="13.2" x14ac:dyDescent="0.25">
      <c r="B306" s="1"/>
      <c r="C306" s="1"/>
      <c r="D306" s="1"/>
      <c r="E306" s="1"/>
      <c r="F306" s="1"/>
      <c r="G306" s="1"/>
      <c r="H306" s="2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2:33" ht="13.2" x14ac:dyDescent="0.25">
      <c r="B307" s="1"/>
      <c r="C307" s="1"/>
      <c r="D307" s="1"/>
      <c r="E307" s="1"/>
      <c r="F307" s="1"/>
      <c r="G307" s="1"/>
      <c r="H307" s="2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2:33" ht="13.2" x14ac:dyDescent="0.25">
      <c r="B308" s="1"/>
      <c r="C308" s="1"/>
      <c r="D308" s="1"/>
      <c r="E308" s="1"/>
      <c r="F308" s="1"/>
      <c r="G308" s="1"/>
      <c r="H308" s="2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2:33" ht="13.2" x14ac:dyDescent="0.25">
      <c r="B309" s="1"/>
      <c r="C309" s="1"/>
      <c r="D309" s="1"/>
      <c r="E309" s="1"/>
      <c r="F309" s="1"/>
      <c r="G309" s="1"/>
      <c r="H309" s="2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2:33" ht="13.2" x14ac:dyDescent="0.25">
      <c r="B310" s="1"/>
      <c r="C310" s="1"/>
      <c r="D310" s="1"/>
      <c r="E310" s="1"/>
      <c r="F310" s="1"/>
      <c r="G310" s="1"/>
      <c r="H310" s="2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2:33" ht="13.2" x14ac:dyDescent="0.25">
      <c r="B311" s="1"/>
      <c r="C311" s="1"/>
      <c r="D311" s="1"/>
      <c r="E311" s="1"/>
      <c r="F311" s="1"/>
      <c r="G311" s="1"/>
      <c r="H311" s="2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2:33" ht="13.2" x14ac:dyDescent="0.25">
      <c r="B312" s="1"/>
      <c r="C312" s="1"/>
      <c r="D312" s="1"/>
      <c r="E312" s="1"/>
      <c r="F312" s="1"/>
      <c r="G312" s="1"/>
      <c r="H312" s="2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2:33" ht="13.2" x14ac:dyDescent="0.25">
      <c r="B313" s="1"/>
      <c r="C313" s="1"/>
      <c r="D313" s="1"/>
      <c r="E313" s="1"/>
      <c r="F313" s="1"/>
      <c r="G313" s="1"/>
      <c r="H313" s="2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2:33" ht="13.2" x14ac:dyDescent="0.25">
      <c r="B314" s="1"/>
      <c r="C314" s="1"/>
      <c r="D314" s="1"/>
      <c r="E314" s="1"/>
      <c r="F314" s="1"/>
      <c r="G314" s="1"/>
      <c r="H314" s="2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2:33" ht="13.2" x14ac:dyDescent="0.25">
      <c r="B315" s="1"/>
      <c r="C315" s="1"/>
      <c r="D315" s="1"/>
      <c r="E315" s="1"/>
      <c r="F315" s="1"/>
      <c r="G315" s="1"/>
      <c r="H315" s="2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2:33" ht="13.2" x14ac:dyDescent="0.25">
      <c r="B316" s="1"/>
      <c r="C316" s="1"/>
      <c r="D316" s="1"/>
      <c r="E316" s="1"/>
      <c r="F316" s="1"/>
      <c r="G316" s="1"/>
      <c r="H316" s="2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2:33" ht="13.2" x14ac:dyDescent="0.25">
      <c r="B317" s="1"/>
      <c r="C317" s="1"/>
      <c r="D317" s="1"/>
      <c r="E317" s="1"/>
      <c r="F317" s="1"/>
      <c r="G317" s="1"/>
      <c r="H317" s="2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2:33" ht="13.2" x14ac:dyDescent="0.25">
      <c r="B318" s="1"/>
      <c r="C318" s="1"/>
      <c r="D318" s="1"/>
      <c r="E318" s="1"/>
      <c r="F318" s="1"/>
      <c r="G318" s="1"/>
      <c r="H318" s="2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2:33" ht="13.2" x14ac:dyDescent="0.25">
      <c r="B319" s="1"/>
      <c r="C319" s="1"/>
      <c r="D319" s="1"/>
      <c r="E319" s="1"/>
      <c r="F319" s="1"/>
      <c r="G319" s="1"/>
      <c r="H319" s="2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2:33" ht="13.2" x14ac:dyDescent="0.25">
      <c r="B320" s="1"/>
      <c r="C320" s="1"/>
      <c r="D320" s="1"/>
      <c r="E320" s="1"/>
      <c r="F320" s="1"/>
      <c r="G320" s="1"/>
      <c r="H320" s="2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2:33" ht="13.2" x14ac:dyDescent="0.25">
      <c r="B321" s="1"/>
      <c r="C321" s="1"/>
      <c r="D321" s="1"/>
      <c r="E321" s="1"/>
      <c r="F321" s="1"/>
      <c r="G321" s="1"/>
      <c r="H321" s="2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2:33" ht="13.2" x14ac:dyDescent="0.25">
      <c r="B322" s="1"/>
      <c r="C322" s="1"/>
      <c r="D322" s="1"/>
      <c r="E322" s="1"/>
      <c r="F322" s="1"/>
      <c r="G322" s="1"/>
      <c r="H322" s="2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2:33" ht="13.2" x14ac:dyDescent="0.25">
      <c r="B323" s="1"/>
      <c r="C323" s="1"/>
      <c r="D323" s="1"/>
      <c r="E323" s="1"/>
      <c r="F323" s="1"/>
      <c r="G323" s="1"/>
      <c r="H323" s="2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2:33" ht="13.2" x14ac:dyDescent="0.25">
      <c r="B324" s="1"/>
      <c r="C324" s="1"/>
      <c r="D324" s="1"/>
      <c r="E324" s="1"/>
      <c r="F324" s="1"/>
      <c r="G324" s="1"/>
      <c r="H324" s="2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2:33" ht="13.2" x14ac:dyDescent="0.25">
      <c r="B325" s="1"/>
      <c r="C325" s="1"/>
      <c r="D325" s="1"/>
      <c r="E325" s="1"/>
      <c r="F325" s="1"/>
      <c r="G325" s="1"/>
      <c r="H325" s="2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2:33" ht="13.2" x14ac:dyDescent="0.25">
      <c r="B326" s="1"/>
      <c r="C326" s="1"/>
      <c r="D326" s="1"/>
      <c r="E326" s="1"/>
      <c r="F326" s="1"/>
      <c r="G326" s="1"/>
      <c r="H326" s="2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2:33" ht="13.2" x14ac:dyDescent="0.25">
      <c r="B327" s="1"/>
      <c r="C327" s="1"/>
      <c r="D327" s="1"/>
      <c r="E327" s="1"/>
      <c r="F327" s="1"/>
      <c r="G327" s="1"/>
      <c r="H327" s="2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2:33" ht="13.2" x14ac:dyDescent="0.25">
      <c r="B328" s="1"/>
      <c r="C328" s="1"/>
      <c r="D328" s="1"/>
      <c r="E328" s="1"/>
      <c r="F328" s="1"/>
      <c r="G328" s="1"/>
      <c r="H328" s="2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2:33" ht="13.2" x14ac:dyDescent="0.25">
      <c r="B329" s="1"/>
      <c r="C329" s="1"/>
      <c r="D329" s="1"/>
      <c r="E329" s="1"/>
      <c r="F329" s="1"/>
      <c r="G329" s="1"/>
      <c r="H329" s="2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2:33" ht="13.2" x14ac:dyDescent="0.25">
      <c r="B330" s="1"/>
      <c r="C330" s="1"/>
      <c r="D330" s="1"/>
      <c r="E330" s="1"/>
      <c r="F330" s="1"/>
      <c r="G330" s="1"/>
      <c r="H330" s="2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2:33" ht="13.2" x14ac:dyDescent="0.25">
      <c r="B331" s="1"/>
      <c r="C331" s="1"/>
      <c r="D331" s="1"/>
      <c r="E331" s="1"/>
      <c r="F331" s="1"/>
      <c r="G331" s="1"/>
      <c r="H331" s="2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2:33" ht="13.2" x14ac:dyDescent="0.25">
      <c r="B332" s="1"/>
      <c r="C332" s="1"/>
      <c r="D332" s="1"/>
      <c r="E332" s="1"/>
      <c r="F332" s="1"/>
      <c r="G332" s="1"/>
      <c r="H332" s="2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2:33" ht="13.2" x14ac:dyDescent="0.25">
      <c r="B333" s="1"/>
      <c r="C333" s="1"/>
      <c r="D333" s="1"/>
      <c r="E333" s="1"/>
      <c r="F333" s="1"/>
      <c r="G333" s="1"/>
      <c r="H333" s="2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2:33" ht="13.2" x14ac:dyDescent="0.25">
      <c r="B334" s="1"/>
      <c r="C334" s="1"/>
      <c r="D334" s="1"/>
      <c r="E334" s="1"/>
      <c r="F334" s="1"/>
      <c r="G334" s="1"/>
      <c r="H334" s="2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2:33" ht="13.2" x14ac:dyDescent="0.25">
      <c r="B335" s="1"/>
      <c r="C335" s="1"/>
      <c r="D335" s="1"/>
      <c r="E335" s="1"/>
      <c r="F335" s="1"/>
      <c r="G335" s="1"/>
      <c r="H335" s="2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2:33" ht="13.2" x14ac:dyDescent="0.25">
      <c r="B336" s="1"/>
      <c r="C336" s="1"/>
      <c r="D336" s="1"/>
      <c r="E336" s="1"/>
      <c r="F336" s="1"/>
      <c r="G336" s="1"/>
      <c r="H336" s="2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2:33" ht="13.2" x14ac:dyDescent="0.25">
      <c r="B337" s="1"/>
      <c r="C337" s="1"/>
      <c r="D337" s="1"/>
      <c r="E337" s="1"/>
      <c r="F337" s="1"/>
      <c r="G337" s="1"/>
      <c r="H337" s="2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2:33" ht="13.2" x14ac:dyDescent="0.25">
      <c r="B338" s="1"/>
      <c r="C338" s="1"/>
      <c r="D338" s="1"/>
      <c r="E338" s="1"/>
      <c r="F338" s="1"/>
      <c r="G338" s="1"/>
      <c r="H338" s="2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2:33" ht="13.2" x14ac:dyDescent="0.25">
      <c r="B339" s="1"/>
      <c r="C339" s="1"/>
      <c r="D339" s="1"/>
      <c r="E339" s="1"/>
      <c r="F339" s="1"/>
      <c r="G339" s="1"/>
      <c r="H339" s="2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2:33" ht="13.2" x14ac:dyDescent="0.25">
      <c r="B340" s="1"/>
      <c r="C340" s="1"/>
      <c r="D340" s="1"/>
      <c r="E340" s="1"/>
      <c r="F340" s="1"/>
      <c r="G340" s="1"/>
      <c r="H340" s="2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2:33" ht="13.2" x14ac:dyDescent="0.25">
      <c r="B341" s="1"/>
      <c r="C341" s="1"/>
      <c r="D341" s="1"/>
      <c r="E341" s="1"/>
      <c r="F341" s="1"/>
      <c r="G341" s="1"/>
      <c r="H341" s="2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2:33" ht="13.2" x14ac:dyDescent="0.25">
      <c r="B342" s="1"/>
      <c r="C342" s="1"/>
      <c r="D342" s="1"/>
      <c r="E342" s="1"/>
      <c r="F342" s="1"/>
      <c r="G342" s="1"/>
      <c r="H342" s="2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2:33" ht="13.2" x14ac:dyDescent="0.25">
      <c r="B343" s="1"/>
      <c r="C343" s="1"/>
      <c r="D343" s="1"/>
      <c r="E343" s="1"/>
      <c r="F343" s="1"/>
      <c r="G343" s="1"/>
      <c r="H343" s="2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2:33" ht="13.2" x14ac:dyDescent="0.25">
      <c r="B344" s="1"/>
      <c r="C344" s="1"/>
      <c r="D344" s="1"/>
      <c r="E344" s="1"/>
      <c r="F344" s="1"/>
      <c r="G344" s="1"/>
      <c r="H344" s="2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2:33" ht="13.2" x14ac:dyDescent="0.25">
      <c r="B345" s="1"/>
      <c r="C345" s="1"/>
      <c r="D345" s="1"/>
      <c r="E345" s="1"/>
      <c r="F345" s="1"/>
      <c r="G345" s="1"/>
      <c r="H345" s="2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2:33" ht="13.2" x14ac:dyDescent="0.25">
      <c r="B346" s="1"/>
      <c r="C346" s="1"/>
      <c r="D346" s="1"/>
      <c r="E346" s="1"/>
      <c r="F346" s="1"/>
      <c r="G346" s="1"/>
      <c r="H346" s="2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2:33" ht="13.2" x14ac:dyDescent="0.25">
      <c r="B347" s="1"/>
      <c r="C347" s="1"/>
      <c r="D347" s="1"/>
      <c r="E347" s="1"/>
      <c r="F347" s="1"/>
      <c r="G347" s="1"/>
      <c r="H347" s="2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2:33" ht="13.2" x14ac:dyDescent="0.25">
      <c r="B348" s="1"/>
      <c r="C348" s="1"/>
      <c r="D348" s="1"/>
      <c r="E348" s="1"/>
      <c r="F348" s="1"/>
      <c r="G348" s="1"/>
      <c r="H348" s="2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2:33" ht="13.2" x14ac:dyDescent="0.25">
      <c r="B349" s="1"/>
      <c r="C349" s="1"/>
      <c r="D349" s="1"/>
      <c r="E349" s="1"/>
      <c r="F349" s="1"/>
      <c r="G349" s="1"/>
      <c r="H349" s="2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2:33" ht="13.2" x14ac:dyDescent="0.25">
      <c r="B350" s="1"/>
      <c r="C350" s="1"/>
      <c r="D350" s="1"/>
      <c r="E350" s="1"/>
      <c r="F350" s="1"/>
      <c r="G350" s="1"/>
      <c r="H350" s="2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2:33" ht="13.2" x14ac:dyDescent="0.25">
      <c r="B351" s="1"/>
      <c r="C351" s="1"/>
      <c r="D351" s="1"/>
      <c r="E351" s="1"/>
      <c r="F351" s="1"/>
      <c r="G351" s="1"/>
      <c r="H351" s="2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2:33" ht="13.2" x14ac:dyDescent="0.25">
      <c r="B352" s="1"/>
      <c r="C352" s="1"/>
      <c r="D352" s="1"/>
      <c r="E352" s="1"/>
      <c r="F352" s="1"/>
      <c r="G352" s="1"/>
      <c r="H352" s="2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2:33" ht="13.2" x14ac:dyDescent="0.25">
      <c r="B353" s="1"/>
      <c r="C353" s="1"/>
      <c r="D353" s="1"/>
      <c r="E353" s="1"/>
      <c r="F353" s="1"/>
      <c r="G353" s="1"/>
      <c r="H353" s="2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2:33" ht="13.2" x14ac:dyDescent="0.25">
      <c r="B354" s="1"/>
      <c r="C354" s="1"/>
      <c r="D354" s="1"/>
      <c r="E354" s="1"/>
      <c r="F354" s="1"/>
      <c r="G354" s="1"/>
      <c r="H354" s="2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2:33" ht="13.2" x14ac:dyDescent="0.25">
      <c r="B355" s="1"/>
      <c r="C355" s="1"/>
      <c r="D355" s="1"/>
      <c r="E355" s="1"/>
      <c r="F355" s="1"/>
      <c r="G355" s="1"/>
      <c r="H355" s="2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2:33" ht="13.2" x14ac:dyDescent="0.25">
      <c r="B356" s="1"/>
      <c r="C356" s="1"/>
      <c r="D356" s="1"/>
      <c r="E356" s="1"/>
      <c r="F356" s="1"/>
      <c r="G356" s="1"/>
      <c r="H356" s="2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2:33" ht="13.2" x14ac:dyDescent="0.25">
      <c r="B357" s="1"/>
      <c r="C357" s="1"/>
      <c r="D357" s="1"/>
      <c r="E357" s="1"/>
      <c r="F357" s="1"/>
      <c r="G357" s="1"/>
      <c r="H357" s="2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2:33" ht="13.2" x14ac:dyDescent="0.25">
      <c r="B358" s="1"/>
      <c r="C358" s="1"/>
      <c r="D358" s="1"/>
      <c r="E358" s="1"/>
      <c r="F358" s="1"/>
      <c r="G358" s="1"/>
      <c r="H358" s="2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2:33" ht="13.2" x14ac:dyDescent="0.25">
      <c r="B359" s="1"/>
      <c r="C359" s="1"/>
      <c r="D359" s="1"/>
      <c r="E359" s="1"/>
      <c r="F359" s="1"/>
      <c r="G359" s="1"/>
      <c r="H359" s="2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2:33" ht="13.2" x14ac:dyDescent="0.25">
      <c r="B360" s="1"/>
      <c r="C360" s="1"/>
      <c r="D360" s="1"/>
      <c r="E360" s="1"/>
      <c r="F360" s="1"/>
      <c r="G360" s="1"/>
      <c r="H360" s="2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2:33" ht="13.2" x14ac:dyDescent="0.25">
      <c r="B361" s="1"/>
      <c r="C361" s="1"/>
      <c r="D361" s="1"/>
      <c r="E361" s="1"/>
      <c r="F361" s="1"/>
      <c r="G361" s="1"/>
      <c r="H361" s="2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2:33" ht="13.2" x14ac:dyDescent="0.25">
      <c r="B362" s="1"/>
      <c r="C362" s="1"/>
      <c r="D362" s="1"/>
      <c r="E362" s="1"/>
      <c r="F362" s="1"/>
      <c r="G362" s="1"/>
      <c r="H362" s="2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2:33" ht="13.2" x14ac:dyDescent="0.25">
      <c r="B363" s="1"/>
      <c r="C363" s="1"/>
      <c r="D363" s="1"/>
      <c r="E363" s="1"/>
      <c r="F363" s="1"/>
      <c r="G363" s="1"/>
      <c r="H363" s="2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2:33" ht="13.2" x14ac:dyDescent="0.25">
      <c r="B364" s="1"/>
      <c r="C364" s="1"/>
      <c r="D364" s="1"/>
      <c r="E364" s="1"/>
      <c r="F364" s="1"/>
      <c r="G364" s="1"/>
      <c r="H364" s="2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2:33" ht="13.2" x14ac:dyDescent="0.25">
      <c r="B365" s="1"/>
      <c r="C365" s="1"/>
      <c r="D365" s="1"/>
      <c r="E365" s="1"/>
      <c r="F365" s="1"/>
      <c r="G365" s="1"/>
      <c r="H365" s="2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2:33" ht="13.2" x14ac:dyDescent="0.25">
      <c r="B366" s="1"/>
      <c r="C366" s="1"/>
      <c r="D366" s="1"/>
      <c r="E366" s="1"/>
      <c r="F366" s="1"/>
      <c r="G366" s="1"/>
      <c r="H366" s="2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2:33" ht="13.2" x14ac:dyDescent="0.25">
      <c r="B367" s="1"/>
      <c r="C367" s="1"/>
      <c r="D367" s="1"/>
      <c r="E367" s="1"/>
      <c r="F367" s="1"/>
      <c r="G367" s="1"/>
      <c r="H367" s="2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2:33" ht="13.2" x14ac:dyDescent="0.25">
      <c r="B368" s="1"/>
      <c r="C368" s="1"/>
      <c r="D368" s="1"/>
      <c r="E368" s="1"/>
      <c r="F368" s="1"/>
      <c r="G368" s="1"/>
      <c r="H368" s="2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2:33" ht="13.2" x14ac:dyDescent="0.25">
      <c r="B369" s="1"/>
      <c r="C369" s="1"/>
      <c r="D369" s="1"/>
      <c r="E369" s="1"/>
      <c r="F369" s="1"/>
      <c r="G369" s="1"/>
      <c r="H369" s="2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2:33" ht="13.2" x14ac:dyDescent="0.25">
      <c r="B370" s="1"/>
      <c r="C370" s="1"/>
      <c r="D370" s="1"/>
      <c r="E370" s="1"/>
      <c r="F370" s="1"/>
      <c r="G370" s="1"/>
      <c r="H370" s="2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2:33" ht="13.2" x14ac:dyDescent="0.25">
      <c r="B371" s="1"/>
      <c r="C371" s="1"/>
      <c r="D371" s="1"/>
      <c r="E371" s="1"/>
      <c r="F371" s="1"/>
      <c r="G371" s="1"/>
      <c r="H371" s="2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2:33" ht="13.2" x14ac:dyDescent="0.25">
      <c r="B372" s="1"/>
      <c r="C372" s="1"/>
      <c r="D372" s="1"/>
      <c r="E372" s="1"/>
      <c r="F372" s="1"/>
      <c r="G372" s="1"/>
      <c r="H372" s="2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2:33" ht="13.2" x14ac:dyDescent="0.25">
      <c r="B373" s="1"/>
      <c r="C373" s="1"/>
      <c r="D373" s="1"/>
      <c r="E373" s="1"/>
      <c r="F373" s="1"/>
      <c r="G373" s="1"/>
      <c r="H373" s="2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2:33" ht="13.2" x14ac:dyDescent="0.25">
      <c r="B374" s="1"/>
      <c r="C374" s="1"/>
      <c r="D374" s="1"/>
      <c r="E374" s="1"/>
      <c r="F374" s="1"/>
      <c r="G374" s="1"/>
      <c r="H374" s="2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2:33" ht="13.2" x14ac:dyDescent="0.25">
      <c r="B375" s="1"/>
      <c r="C375" s="1"/>
      <c r="D375" s="1"/>
      <c r="E375" s="1"/>
      <c r="F375" s="1"/>
      <c r="G375" s="1"/>
      <c r="H375" s="2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2:33" ht="13.2" x14ac:dyDescent="0.25">
      <c r="B376" s="1"/>
      <c r="C376" s="1"/>
      <c r="D376" s="1"/>
      <c r="E376" s="1"/>
      <c r="F376" s="1"/>
      <c r="G376" s="1"/>
      <c r="H376" s="2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2:33" ht="13.2" x14ac:dyDescent="0.25">
      <c r="B377" s="1"/>
      <c r="C377" s="1"/>
      <c r="D377" s="1"/>
      <c r="E377" s="1"/>
      <c r="F377" s="1"/>
      <c r="G377" s="1"/>
      <c r="H377" s="2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2:33" ht="13.2" x14ac:dyDescent="0.25">
      <c r="B378" s="1"/>
      <c r="C378" s="1"/>
      <c r="D378" s="1"/>
      <c r="E378" s="1"/>
      <c r="F378" s="1"/>
      <c r="G378" s="1"/>
      <c r="H378" s="2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2:33" ht="13.2" x14ac:dyDescent="0.25">
      <c r="B379" s="1"/>
      <c r="C379" s="1"/>
      <c r="D379" s="1"/>
      <c r="E379" s="1"/>
      <c r="F379" s="1"/>
      <c r="G379" s="1"/>
      <c r="H379" s="2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2:33" ht="13.2" x14ac:dyDescent="0.25">
      <c r="B380" s="1"/>
      <c r="C380" s="1"/>
      <c r="D380" s="1"/>
      <c r="E380" s="1"/>
      <c r="F380" s="1"/>
      <c r="G380" s="1"/>
      <c r="H380" s="2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2:33" ht="13.2" x14ac:dyDescent="0.25">
      <c r="B381" s="1"/>
      <c r="C381" s="1"/>
      <c r="D381" s="1"/>
      <c r="E381" s="1"/>
      <c r="F381" s="1"/>
      <c r="G381" s="1"/>
      <c r="H381" s="2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2:33" ht="13.2" x14ac:dyDescent="0.25">
      <c r="B382" s="1"/>
      <c r="C382" s="1"/>
      <c r="D382" s="1"/>
      <c r="E382" s="1"/>
      <c r="F382" s="1"/>
      <c r="G382" s="1"/>
      <c r="H382" s="2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2:33" ht="13.2" x14ac:dyDescent="0.25">
      <c r="B383" s="1"/>
      <c r="C383" s="1"/>
      <c r="D383" s="1"/>
      <c r="E383" s="1"/>
      <c r="F383" s="1"/>
      <c r="G383" s="1"/>
      <c r="H383" s="2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2:33" ht="13.2" x14ac:dyDescent="0.25">
      <c r="B384" s="1"/>
      <c r="C384" s="1"/>
      <c r="D384" s="1"/>
      <c r="E384" s="1"/>
      <c r="F384" s="1"/>
      <c r="G384" s="1"/>
      <c r="H384" s="2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2:33" ht="13.2" x14ac:dyDescent="0.25">
      <c r="B385" s="1"/>
      <c r="C385" s="1"/>
      <c r="D385" s="1"/>
      <c r="E385" s="1"/>
      <c r="F385" s="1"/>
      <c r="G385" s="1"/>
      <c r="H385" s="2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2:33" ht="13.2" x14ac:dyDescent="0.25">
      <c r="B386" s="1"/>
      <c r="C386" s="1"/>
      <c r="D386" s="1"/>
      <c r="E386" s="1"/>
      <c r="F386" s="1"/>
      <c r="G386" s="1"/>
      <c r="H386" s="2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2:33" ht="13.2" x14ac:dyDescent="0.25">
      <c r="B387" s="1"/>
      <c r="C387" s="1"/>
      <c r="D387" s="1"/>
      <c r="E387" s="1"/>
      <c r="F387" s="1"/>
      <c r="G387" s="1"/>
      <c r="H387" s="2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2:33" ht="13.2" x14ac:dyDescent="0.25">
      <c r="B388" s="1"/>
      <c r="C388" s="1"/>
      <c r="D388" s="1"/>
      <c r="E388" s="1"/>
      <c r="F388" s="1"/>
      <c r="G388" s="1"/>
      <c r="H388" s="2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2:33" ht="13.2" x14ac:dyDescent="0.25">
      <c r="B389" s="1"/>
      <c r="C389" s="1"/>
      <c r="D389" s="1"/>
      <c r="E389" s="1"/>
      <c r="F389" s="1"/>
      <c r="G389" s="1"/>
      <c r="H389" s="2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2:33" ht="13.2" x14ac:dyDescent="0.25">
      <c r="B390" s="1"/>
      <c r="C390" s="1"/>
      <c r="D390" s="1"/>
      <c r="E390" s="1"/>
      <c r="F390" s="1"/>
      <c r="G390" s="1"/>
      <c r="H390" s="2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2:33" ht="13.2" x14ac:dyDescent="0.25">
      <c r="B391" s="1"/>
      <c r="C391" s="1"/>
      <c r="D391" s="1"/>
      <c r="E391" s="1"/>
      <c r="F391" s="1"/>
      <c r="G391" s="1"/>
      <c r="H391" s="2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2:33" ht="13.2" x14ac:dyDescent="0.25">
      <c r="B392" s="1"/>
      <c r="C392" s="1"/>
      <c r="D392" s="1"/>
      <c r="E392" s="1"/>
      <c r="F392" s="1"/>
      <c r="G392" s="1"/>
      <c r="H392" s="2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2:33" ht="13.2" x14ac:dyDescent="0.25">
      <c r="B393" s="1"/>
      <c r="C393" s="1"/>
      <c r="D393" s="1"/>
      <c r="E393" s="1"/>
      <c r="F393" s="1"/>
      <c r="G393" s="1"/>
      <c r="H393" s="2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2:33" ht="13.2" x14ac:dyDescent="0.25">
      <c r="B394" s="1"/>
      <c r="C394" s="1"/>
      <c r="D394" s="1"/>
      <c r="E394" s="1"/>
      <c r="F394" s="1"/>
      <c r="G394" s="1"/>
      <c r="H394" s="2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2:33" ht="13.2" x14ac:dyDescent="0.25">
      <c r="B395" s="1"/>
      <c r="C395" s="1"/>
      <c r="D395" s="1"/>
      <c r="E395" s="1"/>
      <c r="F395" s="1"/>
      <c r="G395" s="1"/>
      <c r="H395" s="2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2:33" ht="13.2" x14ac:dyDescent="0.25">
      <c r="B396" s="1"/>
      <c r="C396" s="1"/>
      <c r="D396" s="1"/>
      <c r="E396" s="1"/>
      <c r="F396" s="1"/>
      <c r="G396" s="1"/>
      <c r="H396" s="2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2:33" ht="13.2" x14ac:dyDescent="0.25">
      <c r="B397" s="1"/>
      <c r="C397" s="1"/>
      <c r="D397" s="1"/>
      <c r="E397" s="1"/>
      <c r="F397" s="1"/>
      <c r="G397" s="1"/>
      <c r="H397" s="2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2:33" ht="13.2" x14ac:dyDescent="0.25">
      <c r="B398" s="1"/>
      <c r="C398" s="1"/>
      <c r="D398" s="1"/>
      <c r="E398" s="1"/>
      <c r="F398" s="1"/>
      <c r="G398" s="1"/>
      <c r="H398" s="2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2:33" ht="13.2" x14ac:dyDescent="0.25">
      <c r="B399" s="1"/>
      <c r="C399" s="1"/>
      <c r="D399" s="1"/>
      <c r="E399" s="1"/>
      <c r="F399" s="1"/>
      <c r="G399" s="1"/>
      <c r="H399" s="2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2:33" ht="13.2" x14ac:dyDescent="0.25">
      <c r="B400" s="1"/>
      <c r="C400" s="1"/>
      <c r="D400" s="1"/>
      <c r="E400" s="1"/>
      <c r="F400" s="1"/>
      <c r="G400" s="1"/>
      <c r="H400" s="2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2:33" ht="13.2" x14ac:dyDescent="0.25">
      <c r="B401" s="1"/>
      <c r="C401" s="1"/>
      <c r="D401" s="1"/>
      <c r="E401" s="1"/>
      <c r="F401" s="1"/>
      <c r="G401" s="1"/>
      <c r="H401" s="2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2:33" ht="13.2" x14ac:dyDescent="0.25">
      <c r="B402" s="1"/>
      <c r="C402" s="1"/>
      <c r="D402" s="1"/>
      <c r="E402" s="1"/>
      <c r="F402" s="1"/>
      <c r="G402" s="1"/>
      <c r="H402" s="2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2:33" ht="13.2" x14ac:dyDescent="0.25">
      <c r="B403" s="1"/>
      <c r="C403" s="1"/>
      <c r="D403" s="1"/>
      <c r="E403" s="1"/>
      <c r="F403" s="1"/>
      <c r="G403" s="1"/>
      <c r="H403" s="2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2:33" ht="13.2" x14ac:dyDescent="0.25">
      <c r="B404" s="1"/>
      <c r="C404" s="1"/>
      <c r="D404" s="1"/>
      <c r="E404" s="1"/>
      <c r="F404" s="1"/>
      <c r="G404" s="1"/>
      <c r="H404" s="2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2:33" ht="13.2" x14ac:dyDescent="0.25">
      <c r="B405" s="1"/>
      <c r="C405" s="1"/>
      <c r="D405" s="1"/>
      <c r="E405" s="1"/>
      <c r="F405" s="1"/>
      <c r="G405" s="1"/>
      <c r="H405" s="2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2:33" ht="13.2" x14ac:dyDescent="0.25">
      <c r="B406" s="1"/>
      <c r="C406" s="1"/>
      <c r="D406" s="1"/>
      <c r="E406" s="1"/>
      <c r="F406" s="1"/>
      <c r="G406" s="1"/>
      <c r="H406" s="2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2:33" ht="13.2" x14ac:dyDescent="0.25">
      <c r="B407" s="1"/>
      <c r="C407" s="1"/>
      <c r="D407" s="1"/>
      <c r="E407" s="1"/>
      <c r="F407" s="1"/>
      <c r="G407" s="1"/>
      <c r="H407" s="2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2:33" ht="13.2" x14ac:dyDescent="0.25">
      <c r="B408" s="1"/>
      <c r="C408" s="1"/>
      <c r="D408" s="1"/>
      <c r="E408" s="1"/>
      <c r="F408" s="1"/>
      <c r="G408" s="1"/>
      <c r="H408" s="2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2:33" ht="13.2" x14ac:dyDescent="0.25">
      <c r="B409" s="1"/>
      <c r="C409" s="1"/>
      <c r="D409" s="1"/>
      <c r="E409" s="1"/>
      <c r="F409" s="1"/>
      <c r="G409" s="1"/>
      <c r="H409" s="2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2:33" ht="13.2" x14ac:dyDescent="0.25">
      <c r="B410" s="1"/>
      <c r="C410" s="1"/>
      <c r="D410" s="1"/>
      <c r="E410" s="1"/>
      <c r="F410" s="1"/>
      <c r="G410" s="1"/>
      <c r="H410" s="2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2:33" ht="13.2" x14ac:dyDescent="0.25">
      <c r="B411" s="1"/>
      <c r="C411" s="1"/>
      <c r="D411" s="1"/>
      <c r="E411" s="1"/>
      <c r="F411" s="1"/>
      <c r="G411" s="1"/>
      <c r="H411" s="2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2:33" ht="13.2" x14ac:dyDescent="0.25">
      <c r="B412" s="1"/>
      <c r="C412" s="1"/>
      <c r="D412" s="1"/>
      <c r="E412" s="1"/>
      <c r="F412" s="1"/>
      <c r="G412" s="1"/>
      <c r="H412" s="2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2:33" ht="13.2" x14ac:dyDescent="0.25">
      <c r="B413" s="1"/>
      <c r="C413" s="1"/>
      <c r="D413" s="1"/>
      <c r="E413" s="1"/>
      <c r="F413" s="1"/>
      <c r="G413" s="1"/>
      <c r="H413" s="2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2:33" ht="13.2" x14ac:dyDescent="0.25">
      <c r="B414" s="1"/>
      <c r="C414" s="1"/>
      <c r="D414" s="1"/>
      <c r="E414" s="1"/>
      <c r="F414" s="1"/>
      <c r="G414" s="1"/>
      <c r="H414" s="2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2:33" ht="13.2" x14ac:dyDescent="0.25">
      <c r="B415" s="1"/>
      <c r="C415" s="1"/>
      <c r="D415" s="1"/>
      <c r="E415" s="1"/>
      <c r="F415" s="1"/>
      <c r="G415" s="1"/>
      <c r="H415" s="2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2:33" ht="13.2" x14ac:dyDescent="0.25">
      <c r="B416" s="1"/>
      <c r="C416" s="1"/>
      <c r="D416" s="1"/>
      <c r="E416" s="1"/>
      <c r="F416" s="1"/>
      <c r="G416" s="1"/>
      <c r="H416" s="2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2:33" ht="13.2" x14ac:dyDescent="0.25">
      <c r="B417" s="1"/>
      <c r="C417" s="1"/>
      <c r="D417" s="1"/>
      <c r="E417" s="1"/>
      <c r="F417" s="1"/>
      <c r="G417" s="1"/>
      <c r="H417" s="2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2:33" ht="13.2" x14ac:dyDescent="0.25">
      <c r="B418" s="1"/>
      <c r="C418" s="1"/>
      <c r="D418" s="1"/>
      <c r="E418" s="1"/>
      <c r="F418" s="1"/>
      <c r="G418" s="1"/>
      <c r="H418" s="2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2:33" ht="13.2" x14ac:dyDescent="0.25">
      <c r="B419" s="1"/>
      <c r="C419" s="1"/>
      <c r="D419" s="1"/>
      <c r="E419" s="1"/>
      <c r="F419" s="1"/>
      <c r="G419" s="1"/>
      <c r="H419" s="2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2:33" ht="13.2" x14ac:dyDescent="0.25">
      <c r="B420" s="1"/>
      <c r="C420" s="1"/>
      <c r="D420" s="1"/>
      <c r="E420" s="1"/>
      <c r="F420" s="1"/>
      <c r="G420" s="1"/>
      <c r="H420" s="2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2:33" ht="13.2" x14ac:dyDescent="0.25">
      <c r="B421" s="1"/>
      <c r="C421" s="1"/>
      <c r="D421" s="1"/>
      <c r="E421" s="1"/>
      <c r="F421" s="1"/>
      <c r="G421" s="1"/>
      <c r="H421" s="2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2:33" ht="13.2" x14ac:dyDescent="0.25">
      <c r="B422" s="1"/>
      <c r="C422" s="1"/>
      <c r="D422" s="1"/>
      <c r="E422" s="1"/>
      <c r="F422" s="1"/>
      <c r="G422" s="1"/>
      <c r="H422" s="2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2:33" ht="13.2" x14ac:dyDescent="0.25">
      <c r="B423" s="1"/>
      <c r="C423" s="1"/>
      <c r="D423" s="1"/>
      <c r="E423" s="1"/>
      <c r="F423" s="1"/>
      <c r="G423" s="1"/>
      <c r="H423" s="2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2:33" ht="13.2" x14ac:dyDescent="0.25">
      <c r="B424" s="1"/>
      <c r="C424" s="1"/>
      <c r="D424" s="1"/>
      <c r="E424" s="1"/>
      <c r="F424" s="1"/>
      <c r="G424" s="1"/>
      <c r="H424" s="2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2:33" ht="13.2" x14ac:dyDescent="0.25">
      <c r="B425" s="1"/>
      <c r="C425" s="1"/>
      <c r="D425" s="1"/>
      <c r="E425" s="1"/>
      <c r="F425" s="1"/>
      <c r="G425" s="1"/>
      <c r="H425" s="2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2:33" ht="13.2" x14ac:dyDescent="0.25">
      <c r="B426" s="1"/>
      <c r="C426" s="1"/>
      <c r="D426" s="1"/>
      <c r="E426" s="1"/>
      <c r="F426" s="1"/>
      <c r="G426" s="1"/>
      <c r="H426" s="2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2:33" ht="13.2" x14ac:dyDescent="0.25">
      <c r="B427" s="1"/>
      <c r="C427" s="1"/>
      <c r="D427" s="1"/>
      <c r="E427" s="1"/>
      <c r="F427" s="1"/>
      <c r="G427" s="1"/>
      <c r="H427" s="2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2:33" ht="13.2" x14ac:dyDescent="0.25">
      <c r="B428" s="1"/>
      <c r="C428" s="1"/>
      <c r="D428" s="1"/>
      <c r="E428" s="1"/>
      <c r="F428" s="1"/>
      <c r="G428" s="1"/>
      <c r="H428" s="2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2:33" ht="13.2" x14ac:dyDescent="0.25">
      <c r="B429" s="1"/>
      <c r="C429" s="1"/>
      <c r="D429" s="1"/>
      <c r="E429" s="1"/>
      <c r="F429" s="1"/>
      <c r="G429" s="1"/>
      <c r="H429" s="2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2:33" ht="13.2" x14ac:dyDescent="0.25">
      <c r="B430" s="1"/>
      <c r="C430" s="1"/>
      <c r="D430" s="1"/>
      <c r="E430" s="1"/>
      <c r="F430" s="1"/>
      <c r="G430" s="1"/>
      <c r="H430" s="2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2:33" ht="13.2" x14ac:dyDescent="0.25">
      <c r="B431" s="1"/>
      <c r="C431" s="1"/>
      <c r="D431" s="1"/>
      <c r="E431" s="1"/>
      <c r="F431" s="1"/>
      <c r="G431" s="1"/>
      <c r="H431" s="2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2:33" ht="13.2" x14ac:dyDescent="0.25">
      <c r="B432" s="1"/>
      <c r="C432" s="1"/>
      <c r="D432" s="1"/>
      <c r="E432" s="1"/>
      <c r="F432" s="1"/>
      <c r="G432" s="1"/>
      <c r="H432" s="2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2:33" ht="13.2" x14ac:dyDescent="0.25">
      <c r="B433" s="1"/>
      <c r="C433" s="1"/>
      <c r="D433" s="1"/>
      <c r="E433" s="1"/>
      <c r="F433" s="1"/>
      <c r="G433" s="1"/>
      <c r="H433" s="2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2:33" ht="13.2" x14ac:dyDescent="0.25">
      <c r="B434" s="1"/>
      <c r="C434" s="1"/>
      <c r="D434" s="1"/>
      <c r="E434" s="1"/>
      <c r="F434" s="1"/>
      <c r="G434" s="1"/>
      <c r="H434" s="2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2:33" ht="13.2" x14ac:dyDescent="0.25">
      <c r="B435" s="1"/>
      <c r="C435" s="1"/>
      <c r="D435" s="1"/>
      <c r="E435" s="1"/>
      <c r="F435" s="1"/>
      <c r="G435" s="1"/>
      <c r="H435" s="2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2:33" ht="13.2" x14ac:dyDescent="0.25">
      <c r="B436" s="1"/>
      <c r="C436" s="1"/>
      <c r="D436" s="1"/>
      <c r="E436" s="1"/>
      <c r="F436" s="1"/>
      <c r="G436" s="1"/>
      <c r="H436" s="2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2:33" ht="13.2" x14ac:dyDescent="0.25">
      <c r="B437" s="1"/>
      <c r="C437" s="1"/>
      <c r="D437" s="1"/>
      <c r="E437" s="1"/>
      <c r="F437" s="1"/>
      <c r="G437" s="1"/>
      <c r="H437" s="2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2:33" ht="13.2" x14ac:dyDescent="0.25">
      <c r="B438" s="1"/>
      <c r="C438" s="1"/>
      <c r="D438" s="1"/>
      <c r="E438" s="1"/>
      <c r="F438" s="1"/>
      <c r="G438" s="1"/>
      <c r="H438" s="2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2:33" ht="13.2" x14ac:dyDescent="0.25">
      <c r="B439" s="1"/>
      <c r="C439" s="1"/>
      <c r="D439" s="1"/>
      <c r="E439" s="1"/>
      <c r="F439" s="1"/>
      <c r="G439" s="1"/>
      <c r="H439" s="2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2:33" ht="13.2" x14ac:dyDescent="0.25">
      <c r="B440" s="1"/>
      <c r="C440" s="1"/>
      <c r="D440" s="1"/>
      <c r="E440" s="1"/>
      <c r="F440" s="1"/>
      <c r="G440" s="1"/>
      <c r="H440" s="2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2:33" ht="13.2" x14ac:dyDescent="0.25">
      <c r="B441" s="1"/>
      <c r="C441" s="1"/>
      <c r="D441" s="1"/>
      <c r="E441" s="1"/>
      <c r="F441" s="1"/>
      <c r="G441" s="1"/>
      <c r="H441" s="2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2:33" ht="13.2" x14ac:dyDescent="0.25">
      <c r="B442" s="1"/>
      <c r="C442" s="1"/>
      <c r="D442" s="1"/>
      <c r="E442" s="1"/>
      <c r="F442" s="1"/>
      <c r="G442" s="1"/>
      <c r="H442" s="2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2:33" ht="13.2" x14ac:dyDescent="0.25">
      <c r="B443" s="1"/>
      <c r="C443" s="1"/>
      <c r="D443" s="1"/>
      <c r="E443" s="1"/>
      <c r="F443" s="1"/>
      <c r="G443" s="1"/>
      <c r="H443" s="2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2:33" ht="13.2" x14ac:dyDescent="0.25">
      <c r="B444" s="1"/>
      <c r="C444" s="1"/>
      <c r="D444" s="1"/>
      <c r="E444" s="1"/>
      <c r="F444" s="1"/>
      <c r="G444" s="1"/>
      <c r="H444" s="2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2:33" ht="13.2" x14ac:dyDescent="0.25">
      <c r="B445" s="1"/>
      <c r="C445" s="1"/>
      <c r="D445" s="1"/>
      <c r="E445" s="1"/>
      <c r="F445" s="1"/>
      <c r="G445" s="1"/>
      <c r="H445" s="2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2:33" ht="13.2" x14ac:dyDescent="0.25">
      <c r="B446" s="1"/>
      <c r="C446" s="1"/>
      <c r="D446" s="1"/>
      <c r="E446" s="1"/>
      <c r="F446" s="1"/>
      <c r="G446" s="1"/>
      <c r="H446" s="2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2:33" ht="13.2" x14ac:dyDescent="0.25">
      <c r="B447" s="1"/>
      <c r="C447" s="1"/>
      <c r="D447" s="1"/>
      <c r="E447" s="1"/>
      <c r="F447" s="1"/>
      <c r="G447" s="1"/>
      <c r="H447" s="2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2:33" ht="13.2" x14ac:dyDescent="0.25">
      <c r="B448" s="1"/>
      <c r="C448" s="1"/>
      <c r="D448" s="1"/>
      <c r="E448" s="1"/>
      <c r="F448" s="1"/>
      <c r="G448" s="1"/>
      <c r="H448" s="2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2:33" ht="13.2" x14ac:dyDescent="0.25">
      <c r="B449" s="1"/>
      <c r="C449" s="1"/>
      <c r="D449" s="1"/>
      <c r="E449" s="1"/>
      <c r="F449" s="1"/>
      <c r="G449" s="1"/>
      <c r="H449" s="2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2:33" ht="13.2" x14ac:dyDescent="0.25">
      <c r="B450" s="1"/>
      <c r="C450" s="1"/>
      <c r="D450" s="1"/>
      <c r="E450" s="1"/>
      <c r="F450" s="1"/>
      <c r="G450" s="1"/>
      <c r="H450" s="2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2:33" ht="13.2" x14ac:dyDescent="0.25">
      <c r="B451" s="1"/>
      <c r="C451" s="1"/>
      <c r="D451" s="1"/>
      <c r="E451" s="1"/>
      <c r="F451" s="1"/>
      <c r="G451" s="1"/>
      <c r="H451" s="2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2:33" ht="13.2" x14ac:dyDescent="0.25">
      <c r="B452" s="1"/>
      <c r="C452" s="1"/>
      <c r="D452" s="1"/>
      <c r="E452" s="1"/>
      <c r="F452" s="1"/>
      <c r="G452" s="1"/>
      <c r="H452" s="2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2:33" ht="13.2" x14ac:dyDescent="0.25">
      <c r="B453" s="1"/>
      <c r="C453" s="1"/>
      <c r="D453" s="1"/>
      <c r="E453" s="1"/>
      <c r="F453" s="1"/>
      <c r="G453" s="1"/>
      <c r="H453" s="2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2:33" ht="13.2" x14ac:dyDescent="0.25">
      <c r="B454" s="1"/>
      <c r="C454" s="1"/>
      <c r="D454" s="1"/>
      <c r="E454" s="1"/>
      <c r="F454" s="1"/>
      <c r="G454" s="1"/>
      <c r="H454" s="2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2:33" ht="13.2" x14ac:dyDescent="0.25">
      <c r="B455" s="1"/>
      <c r="C455" s="1"/>
      <c r="D455" s="1"/>
      <c r="E455" s="1"/>
      <c r="F455" s="1"/>
      <c r="G455" s="1"/>
      <c r="H455" s="2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2:33" ht="13.2" x14ac:dyDescent="0.25">
      <c r="B456" s="1"/>
      <c r="C456" s="1"/>
      <c r="D456" s="1"/>
      <c r="E456" s="1"/>
      <c r="F456" s="1"/>
      <c r="G456" s="1"/>
      <c r="H456" s="2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2:33" ht="13.2" x14ac:dyDescent="0.25">
      <c r="B457" s="1"/>
      <c r="C457" s="1"/>
      <c r="D457" s="1"/>
      <c r="E457" s="1"/>
      <c r="F457" s="1"/>
      <c r="G457" s="1"/>
      <c r="H457" s="2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2:33" ht="13.2" x14ac:dyDescent="0.25">
      <c r="B458" s="1"/>
      <c r="C458" s="1"/>
      <c r="D458" s="1"/>
      <c r="E458" s="1"/>
      <c r="F458" s="1"/>
      <c r="G458" s="1"/>
      <c r="H458" s="2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2:33" ht="13.2" x14ac:dyDescent="0.25">
      <c r="B459" s="1"/>
      <c r="C459" s="1"/>
      <c r="D459" s="1"/>
      <c r="E459" s="1"/>
      <c r="F459" s="1"/>
      <c r="G459" s="1"/>
      <c r="H459" s="2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2:33" ht="13.2" x14ac:dyDescent="0.25">
      <c r="B460" s="1"/>
      <c r="C460" s="1"/>
      <c r="D460" s="1"/>
      <c r="E460" s="1"/>
      <c r="F460" s="1"/>
      <c r="G460" s="1"/>
      <c r="H460" s="2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2:33" ht="13.2" x14ac:dyDescent="0.25">
      <c r="B461" s="1"/>
      <c r="C461" s="1"/>
      <c r="D461" s="1"/>
      <c r="E461" s="1"/>
      <c r="F461" s="1"/>
      <c r="G461" s="1"/>
      <c r="H461" s="2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2:33" ht="13.2" x14ac:dyDescent="0.25">
      <c r="B462" s="1"/>
      <c r="C462" s="1"/>
      <c r="D462" s="1"/>
      <c r="E462" s="1"/>
      <c r="F462" s="1"/>
      <c r="G462" s="1"/>
      <c r="H462" s="2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2:33" ht="13.2" x14ac:dyDescent="0.25">
      <c r="B463" s="1"/>
      <c r="C463" s="1"/>
      <c r="D463" s="1"/>
      <c r="E463" s="1"/>
      <c r="F463" s="1"/>
      <c r="G463" s="1"/>
      <c r="H463" s="2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2:33" ht="13.2" x14ac:dyDescent="0.25">
      <c r="B464" s="1"/>
      <c r="C464" s="1"/>
      <c r="D464" s="1"/>
      <c r="E464" s="1"/>
      <c r="F464" s="1"/>
      <c r="G464" s="1"/>
      <c r="H464" s="2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2:33" ht="13.2" x14ac:dyDescent="0.25">
      <c r="B465" s="1"/>
      <c r="C465" s="1"/>
      <c r="D465" s="1"/>
      <c r="E465" s="1"/>
      <c r="F465" s="1"/>
      <c r="G465" s="1"/>
      <c r="H465" s="2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2:33" ht="13.2" x14ac:dyDescent="0.25">
      <c r="B466" s="1"/>
      <c r="C466" s="1"/>
      <c r="D466" s="1"/>
      <c r="E466" s="1"/>
      <c r="F466" s="1"/>
      <c r="G466" s="1"/>
      <c r="H466" s="2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2:33" ht="13.2" x14ac:dyDescent="0.25">
      <c r="B467" s="1"/>
      <c r="C467" s="1"/>
      <c r="D467" s="1"/>
      <c r="E467" s="1"/>
      <c r="F467" s="1"/>
      <c r="G467" s="1"/>
      <c r="H467" s="2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2:33" ht="13.2" x14ac:dyDescent="0.25">
      <c r="B468" s="1"/>
      <c r="C468" s="1"/>
      <c r="D468" s="1"/>
      <c r="E468" s="1"/>
      <c r="F468" s="1"/>
      <c r="G468" s="1"/>
      <c r="H468" s="2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2:33" ht="13.2" x14ac:dyDescent="0.25">
      <c r="B469" s="1"/>
      <c r="C469" s="1"/>
      <c r="D469" s="1"/>
      <c r="E469" s="1"/>
      <c r="F469" s="1"/>
      <c r="G469" s="1"/>
      <c r="H469" s="2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2:33" ht="13.2" x14ac:dyDescent="0.25">
      <c r="B470" s="1"/>
      <c r="C470" s="1"/>
      <c r="D470" s="1"/>
      <c r="E470" s="1"/>
      <c r="F470" s="1"/>
      <c r="G470" s="1"/>
      <c r="H470" s="2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2:33" ht="13.2" x14ac:dyDescent="0.25">
      <c r="B471" s="1"/>
      <c r="C471" s="1"/>
      <c r="D471" s="1"/>
      <c r="E471" s="1"/>
      <c r="F471" s="1"/>
      <c r="G471" s="1"/>
      <c r="H471" s="2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2:33" ht="13.2" x14ac:dyDescent="0.25">
      <c r="B472" s="1"/>
      <c r="C472" s="1"/>
      <c r="D472" s="1"/>
      <c r="E472" s="1"/>
      <c r="F472" s="1"/>
      <c r="G472" s="1"/>
      <c r="H472" s="2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2:33" ht="13.2" x14ac:dyDescent="0.25">
      <c r="B473" s="1"/>
      <c r="C473" s="1"/>
      <c r="D473" s="1"/>
      <c r="E473" s="1"/>
      <c r="F473" s="1"/>
      <c r="G473" s="1"/>
      <c r="H473" s="2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2:33" ht="13.2" x14ac:dyDescent="0.25">
      <c r="B474" s="1"/>
      <c r="C474" s="1"/>
      <c r="D474" s="1"/>
      <c r="E474" s="1"/>
      <c r="F474" s="1"/>
      <c r="G474" s="1"/>
      <c r="H474" s="2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2:33" ht="13.2" x14ac:dyDescent="0.25">
      <c r="B475" s="1"/>
      <c r="C475" s="1"/>
      <c r="D475" s="1"/>
      <c r="E475" s="1"/>
      <c r="F475" s="1"/>
      <c r="G475" s="1"/>
      <c r="H475" s="2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2:33" ht="13.2" x14ac:dyDescent="0.25">
      <c r="B476" s="1"/>
      <c r="C476" s="1"/>
      <c r="D476" s="1"/>
      <c r="E476" s="1"/>
      <c r="F476" s="1"/>
      <c r="G476" s="1"/>
      <c r="H476" s="2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2:33" ht="13.2" x14ac:dyDescent="0.25">
      <c r="B477" s="1"/>
      <c r="C477" s="1"/>
      <c r="D477" s="1"/>
      <c r="E477" s="1"/>
      <c r="F477" s="1"/>
      <c r="G477" s="1"/>
      <c r="H477" s="2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2:33" ht="13.2" x14ac:dyDescent="0.25">
      <c r="B478" s="1"/>
      <c r="C478" s="1"/>
      <c r="D478" s="1"/>
      <c r="E478" s="1"/>
      <c r="F478" s="1"/>
      <c r="G478" s="1"/>
      <c r="H478" s="2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2:33" ht="13.2" x14ac:dyDescent="0.25">
      <c r="B479" s="1"/>
      <c r="C479" s="1"/>
      <c r="D479" s="1"/>
      <c r="E479" s="1"/>
      <c r="F479" s="1"/>
      <c r="G479" s="1"/>
      <c r="H479" s="2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2:33" ht="13.2" x14ac:dyDescent="0.25">
      <c r="B480" s="1"/>
      <c r="C480" s="1"/>
      <c r="D480" s="1"/>
      <c r="E480" s="1"/>
      <c r="F480" s="1"/>
      <c r="G480" s="1"/>
      <c r="H480" s="2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2:33" ht="13.2" x14ac:dyDescent="0.25">
      <c r="B481" s="1"/>
      <c r="C481" s="1"/>
      <c r="D481" s="1"/>
      <c r="E481" s="1"/>
      <c r="F481" s="1"/>
      <c r="G481" s="1"/>
      <c r="H481" s="2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2:33" ht="13.2" x14ac:dyDescent="0.25">
      <c r="B482" s="1"/>
      <c r="C482" s="1"/>
      <c r="D482" s="1"/>
      <c r="E482" s="1"/>
      <c r="F482" s="1"/>
      <c r="G482" s="1"/>
      <c r="H482" s="2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2:33" ht="13.2" x14ac:dyDescent="0.25">
      <c r="B483" s="1"/>
      <c r="C483" s="1"/>
      <c r="D483" s="1"/>
      <c r="E483" s="1"/>
      <c r="F483" s="1"/>
      <c r="G483" s="1"/>
      <c r="H483" s="2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2:33" ht="13.2" x14ac:dyDescent="0.25">
      <c r="B484" s="1"/>
      <c r="C484" s="1"/>
      <c r="D484" s="1"/>
      <c r="E484" s="1"/>
      <c r="F484" s="1"/>
      <c r="G484" s="1"/>
      <c r="H484" s="2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2:33" ht="13.2" x14ac:dyDescent="0.25">
      <c r="B485" s="1"/>
      <c r="C485" s="1"/>
      <c r="D485" s="1"/>
      <c r="E485" s="1"/>
      <c r="F485" s="1"/>
      <c r="G485" s="1"/>
      <c r="H485" s="2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2:33" ht="13.2" x14ac:dyDescent="0.25">
      <c r="B486" s="1"/>
      <c r="C486" s="1"/>
      <c r="D486" s="1"/>
      <c r="E486" s="1"/>
      <c r="F486" s="1"/>
      <c r="G486" s="1"/>
      <c r="H486" s="2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2:33" ht="13.2" x14ac:dyDescent="0.25">
      <c r="B487" s="1"/>
      <c r="C487" s="1"/>
      <c r="D487" s="1"/>
      <c r="E487" s="1"/>
      <c r="F487" s="1"/>
      <c r="G487" s="1"/>
      <c r="H487" s="2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2:33" ht="13.2" x14ac:dyDescent="0.25">
      <c r="B488" s="1"/>
      <c r="C488" s="1"/>
      <c r="D488" s="1"/>
      <c r="E488" s="1"/>
      <c r="F488" s="1"/>
      <c r="G488" s="1"/>
      <c r="H488" s="2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2:33" ht="13.2" x14ac:dyDescent="0.25">
      <c r="B489" s="1"/>
      <c r="C489" s="1"/>
      <c r="D489" s="1"/>
      <c r="E489" s="1"/>
      <c r="F489" s="1"/>
      <c r="G489" s="1"/>
      <c r="H489" s="2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2:33" ht="13.2" x14ac:dyDescent="0.25">
      <c r="B490" s="1"/>
      <c r="C490" s="1"/>
      <c r="D490" s="1"/>
      <c r="E490" s="1"/>
      <c r="F490" s="1"/>
      <c r="G490" s="1"/>
      <c r="H490" s="2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2:33" ht="13.2" x14ac:dyDescent="0.25">
      <c r="B491" s="1"/>
      <c r="C491" s="1"/>
      <c r="D491" s="1"/>
      <c r="E491" s="1"/>
      <c r="F491" s="1"/>
      <c r="G491" s="1"/>
      <c r="H491" s="2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2:33" ht="13.2" x14ac:dyDescent="0.25">
      <c r="B492" s="1"/>
      <c r="C492" s="1"/>
      <c r="D492" s="1"/>
      <c r="E492" s="1"/>
      <c r="F492" s="1"/>
      <c r="G492" s="1"/>
      <c r="H492" s="2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2:33" ht="13.2" x14ac:dyDescent="0.25">
      <c r="B493" s="1"/>
      <c r="C493" s="1"/>
      <c r="D493" s="1"/>
      <c r="E493" s="1"/>
      <c r="F493" s="1"/>
      <c r="G493" s="1"/>
      <c r="H493" s="2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2:33" ht="13.2" x14ac:dyDescent="0.25">
      <c r="B494" s="1"/>
      <c r="C494" s="1"/>
      <c r="D494" s="1"/>
      <c r="E494" s="1"/>
      <c r="F494" s="1"/>
      <c r="G494" s="1"/>
      <c r="H494" s="2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2:33" ht="13.2" x14ac:dyDescent="0.25">
      <c r="B495" s="1"/>
      <c r="C495" s="1"/>
      <c r="D495" s="1"/>
      <c r="E495" s="1"/>
      <c r="F495" s="1"/>
      <c r="G495" s="1"/>
      <c r="H495" s="2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2:33" ht="13.2" x14ac:dyDescent="0.25">
      <c r="B496" s="1"/>
      <c r="C496" s="1"/>
      <c r="D496" s="1"/>
      <c r="E496" s="1"/>
      <c r="F496" s="1"/>
      <c r="G496" s="1"/>
      <c r="H496" s="2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2:33" ht="13.2" x14ac:dyDescent="0.25">
      <c r="B497" s="1"/>
      <c r="C497" s="1"/>
      <c r="D497" s="1"/>
      <c r="E497" s="1"/>
      <c r="F497" s="1"/>
      <c r="G497" s="1"/>
      <c r="H497" s="2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2:33" ht="13.2" x14ac:dyDescent="0.25">
      <c r="B498" s="1"/>
      <c r="C498" s="1"/>
      <c r="D498" s="1"/>
      <c r="E498" s="1"/>
      <c r="F498" s="1"/>
      <c r="G498" s="1"/>
      <c r="H498" s="2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2:33" ht="13.2" x14ac:dyDescent="0.25">
      <c r="B499" s="1"/>
      <c r="C499" s="1"/>
      <c r="D499" s="1"/>
      <c r="E499" s="1"/>
      <c r="F499" s="1"/>
      <c r="G499" s="1"/>
      <c r="H499" s="2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2:33" ht="13.2" x14ac:dyDescent="0.25">
      <c r="B500" s="1"/>
      <c r="C500" s="1"/>
      <c r="D500" s="1"/>
      <c r="E500" s="1"/>
      <c r="F500" s="1"/>
      <c r="G500" s="1"/>
      <c r="H500" s="2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2:33" ht="13.2" x14ac:dyDescent="0.25">
      <c r="B501" s="1"/>
      <c r="C501" s="1"/>
      <c r="D501" s="1"/>
      <c r="E501" s="1"/>
      <c r="F501" s="1"/>
      <c r="G501" s="1"/>
      <c r="H501" s="2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2:33" ht="13.2" x14ac:dyDescent="0.25">
      <c r="B502" s="1"/>
      <c r="C502" s="1"/>
      <c r="D502" s="1"/>
      <c r="E502" s="1"/>
      <c r="F502" s="1"/>
      <c r="G502" s="1"/>
      <c r="H502" s="2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2:33" ht="13.2" x14ac:dyDescent="0.25">
      <c r="B503" s="1"/>
      <c r="C503" s="1"/>
      <c r="D503" s="1"/>
      <c r="E503" s="1"/>
      <c r="F503" s="1"/>
      <c r="G503" s="1"/>
      <c r="H503" s="2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2:33" ht="13.2" x14ac:dyDescent="0.25">
      <c r="B504" s="1"/>
      <c r="C504" s="1"/>
      <c r="D504" s="1"/>
      <c r="E504" s="1"/>
      <c r="F504" s="1"/>
      <c r="G504" s="1"/>
      <c r="H504" s="2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2:33" ht="13.2" x14ac:dyDescent="0.25">
      <c r="B505" s="1"/>
      <c r="C505" s="1"/>
      <c r="D505" s="1"/>
      <c r="E505" s="1"/>
      <c r="F505" s="1"/>
      <c r="G505" s="1"/>
      <c r="H505" s="2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2:33" ht="13.2" x14ac:dyDescent="0.25">
      <c r="B506" s="1"/>
      <c r="C506" s="1"/>
      <c r="D506" s="1"/>
      <c r="E506" s="1"/>
      <c r="F506" s="1"/>
      <c r="G506" s="1"/>
      <c r="H506" s="2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2:33" ht="13.2" x14ac:dyDescent="0.25">
      <c r="B507" s="1"/>
      <c r="C507" s="1"/>
      <c r="D507" s="1"/>
      <c r="E507" s="1"/>
      <c r="F507" s="1"/>
      <c r="G507" s="1"/>
      <c r="H507" s="2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2:33" ht="13.2" x14ac:dyDescent="0.25">
      <c r="B508" s="1"/>
      <c r="C508" s="1"/>
      <c r="D508" s="1"/>
      <c r="E508" s="1"/>
      <c r="F508" s="1"/>
      <c r="G508" s="1"/>
      <c r="H508" s="2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2:33" ht="13.2" x14ac:dyDescent="0.25">
      <c r="B509" s="1"/>
      <c r="C509" s="1"/>
      <c r="D509" s="1"/>
      <c r="E509" s="1"/>
      <c r="F509" s="1"/>
      <c r="G509" s="1"/>
      <c r="H509" s="2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2:33" ht="13.2" x14ac:dyDescent="0.25">
      <c r="B510" s="1"/>
      <c r="C510" s="1"/>
      <c r="D510" s="1"/>
      <c r="E510" s="1"/>
      <c r="F510" s="1"/>
      <c r="G510" s="1"/>
      <c r="H510" s="2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2:33" ht="13.2" x14ac:dyDescent="0.25">
      <c r="B511" s="1"/>
      <c r="C511" s="1"/>
      <c r="D511" s="1"/>
      <c r="E511" s="1"/>
      <c r="F511" s="1"/>
      <c r="G511" s="1"/>
      <c r="H511" s="2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2:33" ht="13.2" x14ac:dyDescent="0.25">
      <c r="B512" s="1"/>
      <c r="C512" s="1"/>
      <c r="D512" s="1"/>
      <c r="E512" s="1"/>
      <c r="F512" s="1"/>
      <c r="G512" s="1"/>
      <c r="H512" s="2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2:33" ht="13.2" x14ac:dyDescent="0.25">
      <c r="B513" s="1"/>
      <c r="C513" s="1"/>
      <c r="D513" s="1"/>
      <c r="E513" s="1"/>
      <c r="F513" s="1"/>
      <c r="G513" s="1"/>
      <c r="H513" s="2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2:33" ht="13.2" x14ac:dyDescent="0.25">
      <c r="B514" s="1"/>
      <c r="C514" s="1"/>
      <c r="D514" s="1"/>
      <c r="E514" s="1"/>
      <c r="F514" s="1"/>
      <c r="G514" s="1"/>
      <c r="H514" s="2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2:33" ht="13.2" x14ac:dyDescent="0.25">
      <c r="B515" s="1"/>
      <c r="C515" s="1"/>
      <c r="D515" s="1"/>
      <c r="E515" s="1"/>
      <c r="F515" s="1"/>
      <c r="G515" s="1"/>
      <c r="H515" s="2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2:33" ht="13.2" x14ac:dyDescent="0.25">
      <c r="B516" s="1"/>
      <c r="C516" s="1"/>
      <c r="D516" s="1"/>
      <c r="E516" s="1"/>
      <c r="F516" s="1"/>
      <c r="G516" s="1"/>
      <c r="H516" s="2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2:33" ht="13.2" x14ac:dyDescent="0.25">
      <c r="B517" s="1"/>
      <c r="C517" s="1"/>
      <c r="D517" s="1"/>
      <c r="E517" s="1"/>
      <c r="F517" s="1"/>
      <c r="G517" s="1"/>
      <c r="H517" s="2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2:33" ht="13.2" x14ac:dyDescent="0.25">
      <c r="B518" s="1"/>
      <c r="C518" s="1"/>
      <c r="D518" s="1"/>
      <c r="E518" s="1"/>
      <c r="F518" s="1"/>
      <c r="G518" s="1"/>
      <c r="H518" s="2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2:33" ht="13.2" x14ac:dyDescent="0.25">
      <c r="B519" s="1"/>
      <c r="C519" s="1"/>
      <c r="D519" s="1"/>
      <c r="E519" s="1"/>
      <c r="F519" s="1"/>
      <c r="G519" s="1"/>
      <c r="H519" s="2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2:33" ht="13.2" x14ac:dyDescent="0.25">
      <c r="B520" s="1"/>
      <c r="C520" s="1"/>
      <c r="D520" s="1"/>
      <c r="E520" s="1"/>
      <c r="F520" s="1"/>
      <c r="G520" s="1"/>
      <c r="H520" s="2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2:33" ht="13.2" x14ac:dyDescent="0.25">
      <c r="B521" s="1"/>
      <c r="C521" s="1"/>
      <c r="D521" s="1"/>
      <c r="E521" s="1"/>
      <c r="F521" s="1"/>
      <c r="G521" s="1"/>
      <c r="H521" s="2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2:33" ht="13.2" x14ac:dyDescent="0.25">
      <c r="B522" s="1"/>
      <c r="C522" s="1"/>
      <c r="D522" s="1"/>
      <c r="E522" s="1"/>
      <c r="F522" s="1"/>
      <c r="G522" s="1"/>
      <c r="H522" s="2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2:33" ht="13.2" x14ac:dyDescent="0.25">
      <c r="B523" s="1"/>
      <c r="C523" s="1"/>
      <c r="D523" s="1"/>
      <c r="E523" s="1"/>
      <c r="F523" s="1"/>
      <c r="G523" s="1"/>
      <c r="H523" s="2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2:33" ht="13.2" x14ac:dyDescent="0.25">
      <c r="B524" s="1"/>
      <c r="C524" s="1"/>
      <c r="D524" s="1"/>
      <c r="E524" s="1"/>
      <c r="F524" s="1"/>
      <c r="G524" s="1"/>
      <c r="H524" s="2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2:33" ht="13.2" x14ac:dyDescent="0.25">
      <c r="B525" s="1"/>
      <c r="C525" s="1"/>
      <c r="D525" s="1"/>
      <c r="E525" s="1"/>
      <c r="F525" s="1"/>
      <c r="G525" s="1"/>
      <c r="H525" s="2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2:33" ht="13.2" x14ac:dyDescent="0.25">
      <c r="B526" s="1"/>
      <c r="C526" s="1"/>
      <c r="D526" s="1"/>
      <c r="E526" s="1"/>
      <c r="F526" s="1"/>
      <c r="G526" s="1"/>
      <c r="H526" s="2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2:33" ht="13.2" x14ac:dyDescent="0.25">
      <c r="B527" s="1"/>
      <c r="C527" s="1"/>
      <c r="D527" s="1"/>
      <c r="E527" s="1"/>
      <c r="F527" s="1"/>
      <c r="G527" s="1"/>
      <c r="H527" s="2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2:33" ht="13.2" x14ac:dyDescent="0.25">
      <c r="B528" s="1"/>
      <c r="C528" s="1"/>
      <c r="D528" s="1"/>
      <c r="E528" s="1"/>
      <c r="F528" s="1"/>
      <c r="G528" s="1"/>
      <c r="H528" s="2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2:33" ht="13.2" x14ac:dyDescent="0.25">
      <c r="B529" s="1"/>
      <c r="C529" s="1"/>
      <c r="D529" s="1"/>
      <c r="E529" s="1"/>
      <c r="F529" s="1"/>
      <c r="G529" s="1"/>
      <c r="H529" s="2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2:33" ht="13.2" x14ac:dyDescent="0.25">
      <c r="B530" s="1"/>
      <c r="C530" s="1"/>
      <c r="D530" s="1"/>
      <c r="E530" s="1"/>
      <c r="F530" s="1"/>
      <c r="G530" s="1"/>
      <c r="H530" s="2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2:33" ht="13.2" x14ac:dyDescent="0.25">
      <c r="B531" s="1"/>
      <c r="C531" s="1"/>
      <c r="D531" s="1"/>
      <c r="E531" s="1"/>
      <c r="F531" s="1"/>
      <c r="G531" s="1"/>
      <c r="H531" s="2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2:33" ht="13.2" x14ac:dyDescent="0.25">
      <c r="B532" s="1"/>
      <c r="C532" s="1"/>
      <c r="D532" s="1"/>
      <c r="E532" s="1"/>
      <c r="F532" s="1"/>
      <c r="G532" s="1"/>
      <c r="H532" s="2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2:33" ht="13.2" x14ac:dyDescent="0.25">
      <c r="B533" s="1"/>
      <c r="C533" s="1"/>
      <c r="D533" s="1"/>
      <c r="E533" s="1"/>
      <c r="F533" s="1"/>
      <c r="G533" s="1"/>
      <c r="H533" s="2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2:33" ht="13.2" x14ac:dyDescent="0.25">
      <c r="B534" s="1"/>
      <c r="C534" s="1"/>
      <c r="D534" s="1"/>
      <c r="E534" s="1"/>
      <c r="F534" s="1"/>
      <c r="G534" s="1"/>
      <c r="H534" s="2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2:33" ht="13.2" x14ac:dyDescent="0.25">
      <c r="B535" s="1"/>
      <c r="C535" s="1"/>
      <c r="D535" s="1"/>
      <c r="E535" s="1"/>
      <c r="F535" s="1"/>
      <c r="G535" s="1"/>
      <c r="H535" s="2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2:33" ht="13.2" x14ac:dyDescent="0.25">
      <c r="B536" s="1"/>
      <c r="C536" s="1"/>
      <c r="D536" s="1"/>
      <c r="E536" s="1"/>
      <c r="F536" s="1"/>
      <c r="G536" s="1"/>
      <c r="H536" s="2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2:33" ht="13.2" x14ac:dyDescent="0.25">
      <c r="B537" s="1"/>
      <c r="C537" s="1"/>
      <c r="D537" s="1"/>
      <c r="E537" s="1"/>
      <c r="F537" s="1"/>
      <c r="G537" s="1"/>
      <c r="H537" s="2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2:33" ht="13.2" x14ac:dyDescent="0.25">
      <c r="B538" s="1"/>
      <c r="C538" s="1"/>
      <c r="D538" s="1"/>
      <c r="E538" s="1"/>
      <c r="F538" s="1"/>
      <c r="G538" s="1"/>
      <c r="H538" s="2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2:33" ht="13.2" x14ac:dyDescent="0.25">
      <c r="B539" s="1"/>
      <c r="C539" s="1"/>
      <c r="D539" s="1"/>
      <c r="E539" s="1"/>
      <c r="F539" s="1"/>
      <c r="G539" s="1"/>
      <c r="H539" s="2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2:33" ht="13.2" x14ac:dyDescent="0.25">
      <c r="B540" s="1"/>
      <c r="C540" s="1"/>
      <c r="D540" s="1"/>
      <c r="E540" s="1"/>
      <c r="F540" s="1"/>
      <c r="G540" s="1"/>
      <c r="H540" s="2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2:33" ht="13.2" x14ac:dyDescent="0.25">
      <c r="B541" s="1"/>
      <c r="C541" s="1"/>
      <c r="D541" s="1"/>
      <c r="E541" s="1"/>
      <c r="F541" s="1"/>
      <c r="G541" s="1"/>
      <c r="H541" s="2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2:33" ht="13.2" x14ac:dyDescent="0.25">
      <c r="B542" s="1"/>
      <c r="C542" s="1"/>
      <c r="D542" s="1"/>
      <c r="E542" s="1"/>
      <c r="F542" s="1"/>
      <c r="G542" s="1"/>
      <c r="H542" s="2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2:33" ht="13.2" x14ac:dyDescent="0.25">
      <c r="B543" s="1"/>
      <c r="C543" s="1"/>
      <c r="D543" s="1"/>
      <c r="E543" s="1"/>
      <c r="F543" s="1"/>
      <c r="G543" s="1"/>
      <c r="H543" s="2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2:33" ht="13.2" x14ac:dyDescent="0.25">
      <c r="B544" s="1"/>
      <c r="C544" s="1"/>
      <c r="D544" s="1"/>
      <c r="E544" s="1"/>
      <c r="F544" s="1"/>
      <c r="G544" s="1"/>
      <c r="H544" s="2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2:33" ht="13.2" x14ac:dyDescent="0.25">
      <c r="B545" s="1"/>
      <c r="C545" s="1"/>
      <c r="D545" s="1"/>
      <c r="E545" s="1"/>
      <c r="F545" s="1"/>
      <c r="G545" s="1"/>
      <c r="H545" s="2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2:33" ht="13.2" x14ac:dyDescent="0.25">
      <c r="B546" s="1"/>
      <c r="C546" s="1"/>
      <c r="D546" s="1"/>
      <c r="E546" s="1"/>
      <c r="F546" s="1"/>
      <c r="G546" s="1"/>
      <c r="H546" s="2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2:33" ht="13.2" x14ac:dyDescent="0.25">
      <c r="B547" s="1"/>
      <c r="C547" s="1"/>
      <c r="D547" s="1"/>
      <c r="E547" s="1"/>
      <c r="F547" s="1"/>
      <c r="G547" s="1"/>
      <c r="H547" s="2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2:33" ht="13.2" x14ac:dyDescent="0.25">
      <c r="B548" s="1"/>
      <c r="C548" s="1"/>
      <c r="D548" s="1"/>
      <c r="E548" s="1"/>
      <c r="F548" s="1"/>
      <c r="G548" s="1"/>
      <c r="H548" s="2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2:33" ht="13.2" x14ac:dyDescent="0.25">
      <c r="B549" s="1"/>
      <c r="C549" s="1"/>
      <c r="D549" s="1"/>
      <c r="E549" s="1"/>
      <c r="F549" s="1"/>
      <c r="G549" s="1"/>
      <c r="H549" s="2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2:33" ht="13.2" x14ac:dyDescent="0.25">
      <c r="B550" s="1"/>
      <c r="C550" s="1"/>
      <c r="D550" s="1"/>
      <c r="E550" s="1"/>
      <c r="F550" s="1"/>
      <c r="G550" s="1"/>
      <c r="H550" s="2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2:33" ht="13.2" x14ac:dyDescent="0.25">
      <c r="B551" s="1"/>
      <c r="C551" s="1"/>
      <c r="D551" s="1"/>
      <c r="E551" s="1"/>
      <c r="F551" s="1"/>
      <c r="G551" s="1"/>
      <c r="H551" s="2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2:33" ht="13.2" x14ac:dyDescent="0.25">
      <c r="B552" s="1"/>
      <c r="C552" s="1"/>
      <c r="D552" s="1"/>
      <c r="E552" s="1"/>
      <c r="F552" s="1"/>
      <c r="G552" s="1"/>
      <c r="H552" s="2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2:33" ht="13.2" x14ac:dyDescent="0.25">
      <c r="B553" s="1"/>
      <c r="C553" s="1"/>
      <c r="D553" s="1"/>
      <c r="E553" s="1"/>
      <c r="F553" s="1"/>
      <c r="G553" s="1"/>
      <c r="H553" s="2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2:33" ht="13.2" x14ac:dyDescent="0.25">
      <c r="B554" s="1"/>
      <c r="C554" s="1"/>
      <c r="D554" s="1"/>
      <c r="E554" s="1"/>
      <c r="F554" s="1"/>
      <c r="G554" s="1"/>
      <c r="H554" s="2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2:33" ht="13.2" x14ac:dyDescent="0.25">
      <c r="B555" s="1"/>
      <c r="C555" s="1"/>
      <c r="D555" s="1"/>
      <c r="E555" s="1"/>
      <c r="F555" s="1"/>
      <c r="G555" s="1"/>
      <c r="H555" s="2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2:33" ht="13.2" x14ac:dyDescent="0.25">
      <c r="B556" s="1"/>
      <c r="C556" s="1"/>
      <c r="D556" s="1"/>
      <c r="E556" s="1"/>
      <c r="F556" s="1"/>
      <c r="G556" s="1"/>
      <c r="H556" s="2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2:33" ht="13.2" x14ac:dyDescent="0.25">
      <c r="B557" s="1"/>
      <c r="C557" s="1"/>
      <c r="D557" s="1"/>
      <c r="E557" s="1"/>
      <c r="F557" s="1"/>
      <c r="G557" s="1"/>
      <c r="H557" s="2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2:33" ht="13.2" x14ac:dyDescent="0.25">
      <c r="B558" s="1"/>
      <c r="C558" s="1"/>
      <c r="D558" s="1"/>
      <c r="E558" s="1"/>
      <c r="F558" s="1"/>
      <c r="G558" s="1"/>
      <c r="H558" s="2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2:33" ht="13.2" x14ac:dyDescent="0.25">
      <c r="B559" s="1"/>
      <c r="C559" s="1"/>
      <c r="D559" s="1"/>
      <c r="E559" s="1"/>
      <c r="F559" s="1"/>
      <c r="G559" s="1"/>
      <c r="H559" s="2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2:33" ht="13.2" x14ac:dyDescent="0.25">
      <c r="B560" s="1"/>
      <c r="C560" s="1"/>
      <c r="D560" s="1"/>
      <c r="E560" s="1"/>
      <c r="F560" s="1"/>
      <c r="G560" s="1"/>
      <c r="H560" s="2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2:33" ht="13.2" x14ac:dyDescent="0.25">
      <c r="B561" s="1"/>
      <c r="C561" s="1"/>
      <c r="D561" s="1"/>
      <c r="E561" s="1"/>
      <c r="F561" s="1"/>
      <c r="G561" s="1"/>
      <c r="H561" s="2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2:33" ht="13.2" x14ac:dyDescent="0.25">
      <c r="B562" s="1"/>
      <c r="C562" s="1"/>
      <c r="D562" s="1"/>
      <c r="E562" s="1"/>
      <c r="F562" s="1"/>
      <c r="G562" s="1"/>
      <c r="H562" s="2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2:33" ht="13.2" x14ac:dyDescent="0.25">
      <c r="B563" s="1"/>
      <c r="C563" s="1"/>
      <c r="D563" s="1"/>
      <c r="E563" s="1"/>
      <c r="F563" s="1"/>
      <c r="G563" s="1"/>
      <c r="H563" s="2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2:33" ht="13.2" x14ac:dyDescent="0.25">
      <c r="B564" s="1"/>
      <c r="C564" s="1"/>
      <c r="D564" s="1"/>
      <c r="E564" s="1"/>
      <c r="F564" s="1"/>
      <c r="G564" s="1"/>
      <c r="H564" s="2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2:33" ht="13.2" x14ac:dyDescent="0.25">
      <c r="B565" s="1"/>
      <c r="C565" s="1"/>
      <c r="D565" s="1"/>
      <c r="E565" s="1"/>
      <c r="F565" s="1"/>
      <c r="G565" s="1"/>
      <c r="H565" s="2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2:33" ht="13.2" x14ac:dyDescent="0.25">
      <c r="B566" s="1"/>
      <c r="C566" s="1"/>
      <c r="D566" s="1"/>
      <c r="E566" s="1"/>
      <c r="F566" s="1"/>
      <c r="G566" s="1"/>
      <c r="H566" s="2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2:33" ht="13.2" x14ac:dyDescent="0.25">
      <c r="B567" s="1"/>
      <c r="C567" s="1"/>
      <c r="D567" s="1"/>
      <c r="E567" s="1"/>
      <c r="F567" s="1"/>
      <c r="G567" s="1"/>
      <c r="H567" s="2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2:33" ht="13.2" x14ac:dyDescent="0.25">
      <c r="B568" s="1"/>
      <c r="C568" s="1"/>
      <c r="D568" s="1"/>
      <c r="E568" s="1"/>
      <c r="F568" s="1"/>
      <c r="G568" s="1"/>
      <c r="H568" s="2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2:33" ht="13.2" x14ac:dyDescent="0.25">
      <c r="B569" s="1"/>
      <c r="C569" s="1"/>
      <c r="D569" s="1"/>
      <c r="E569" s="1"/>
      <c r="F569" s="1"/>
      <c r="G569" s="1"/>
      <c r="H569" s="2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2:33" ht="13.2" x14ac:dyDescent="0.25">
      <c r="B570" s="1"/>
      <c r="C570" s="1"/>
      <c r="D570" s="1"/>
      <c r="E570" s="1"/>
      <c r="F570" s="1"/>
      <c r="G570" s="1"/>
      <c r="H570" s="2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2:33" ht="13.2" x14ac:dyDescent="0.25">
      <c r="B571" s="1"/>
      <c r="C571" s="1"/>
      <c r="D571" s="1"/>
      <c r="E571" s="1"/>
      <c r="F571" s="1"/>
      <c r="G571" s="1"/>
      <c r="H571" s="2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2:33" ht="13.2" x14ac:dyDescent="0.25">
      <c r="B572" s="1"/>
      <c r="C572" s="1"/>
      <c r="D572" s="1"/>
      <c r="E572" s="1"/>
      <c r="F572" s="1"/>
      <c r="G572" s="1"/>
      <c r="H572" s="2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2:33" ht="13.2" x14ac:dyDescent="0.25">
      <c r="B573" s="1"/>
      <c r="C573" s="1"/>
      <c r="D573" s="1"/>
      <c r="E573" s="1"/>
      <c r="F573" s="1"/>
      <c r="G573" s="1"/>
      <c r="H573" s="2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2:33" ht="13.2" x14ac:dyDescent="0.25">
      <c r="B574" s="1"/>
      <c r="C574" s="1"/>
      <c r="D574" s="1"/>
      <c r="E574" s="1"/>
      <c r="F574" s="1"/>
      <c r="G574" s="1"/>
      <c r="H574" s="2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2:33" ht="13.2" x14ac:dyDescent="0.25">
      <c r="B575" s="1"/>
      <c r="C575" s="1"/>
      <c r="D575" s="1"/>
      <c r="E575" s="1"/>
      <c r="F575" s="1"/>
      <c r="G575" s="1"/>
      <c r="H575" s="2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2:33" ht="13.2" x14ac:dyDescent="0.25">
      <c r="B576" s="1"/>
      <c r="C576" s="1"/>
      <c r="D576" s="1"/>
      <c r="E576" s="1"/>
      <c r="F576" s="1"/>
      <c r="G576" s="1"/>
      <c r="H576" s="2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2:33" ht="13.2" x14ac:dyDescent="0.25">
      <c r="B577" s="1"/>
      <c r="C577" s="1"/>
      <c r="D577" s="1"/>
      <c r="E577" s="1"/>
      <c r="F577" s="1"/>
      <c r="G577" s="1"/>
      <c r="H577" s="2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2:33" ht="13.2" x14ac:dyDescent="0.25">
      <c r="B578" s="1"/>
      <c r="C578" s="1"/>
      <c r="D578" s="1"/>
      <c r="E578" s="1"/>
      <c r="F578" s="1"/>
      <c r="G578" s="1"/>
      <c r="H578" s="2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2:33" ht="13.2" x14ac:dyDescent="0.25">
      <c r="B579" s="1"/>
      <c r="C579" s="1"/>
      <c r="D579" s="1"/>
      <c r="E579" s="1"/>
      <c r="F579" s="1"/>
      <c r="G579" s="1"/>
      <c r="H579" s="2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2:33" ht="13.2" x14ac:dyDescent="0.25">
      <c r="B580" s="1"/>
      <c r="C580" s="1"/>
      <c r="D580" s="1"/>
      <c r="E580" s="1"/>
      <c r="F580" s="1"/>
      <c r="G580" s="1"/>
      <c r="H580" s="2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2:33" ht="13.2" x14ac:dyDescent="0.25">
      <c r="B581" s="1"/>
      <c r="C581" s="1"/>
      <c r="D581" s="1"/>
      <c r="E581" s="1"/>
      <c r="F581" s="1"/>
      <c r="G581" s="1"/>
      <c r="H581" s="2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2:33" ht="13.2" x14ac:dyDescent="0.25">
      <c r="B582" s="1"/>
      <c r="C582" s="1"/>
      <c r="D582" s="1"/>
      <c r="E582" s="1"/>
      <c r="F582" s="1"/>
      <c r="G582" s="1"/>
      <c r="H582" s="2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2:33" ht="13.2" x14ac:dyDescent="0.25">
      <c r="B583" s="1"/>
      <c r="C583" s="1"/>
      <c r="D583" s="1"/>
      <c r="E583" s="1"/>
      <c r="F583" s="1"/>
      <c r="G583" s="1"/>
      <c r="H583" s="2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2:33" ht="13.2" x14ac:dyDescent="0.25">
      <c r="B584" s="1"/>
      <c r="C584" s="1"/>
      <c r="D584" s="1"/>
      <c r="E584" s="1"/>
      <c r="F584" s="1"/>
      <c r="G584" s="1"/>
      <c r="H584" s="2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2:33" ht="13.2" x14ac:dyDescent="0.25">
      <c r="B585" s="1"/>
      <c r="C585" s="1"/>
      <c r="D585" s="1"/>
      <c r="E585" s="1"/>
      <c r="F585" s="1"/>
      <c r="G585" s="1"/>
      <c r="H585" s="2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2:33" ht="13.2" x14ac:dyDescent="0.25">
      <c r="B586" s="1"/>
      <c r="C586" s="1"/>
      <c r="D586" s="1"/>
      <c r="E586" s="1"/>
      <c r="F586" s="1"/>
      <c r="G586" s="1"/>
      <c r="H586" s="2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2:33" ht="13.2" x14ac:dyDescent="0.25">
      <c r="B587" s="1"/>
      <c r="C587" s="1"/>
      <c r="D587" s="1"/>
      <c r="E587" s="1"/>
      <c r="F587" s="1"/>
      <c r="G587" s="1"/>
      <c r="H587" s="2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2:33" ht="13.2" x14ac:dyDescent="0.25">
      <c r="B588" s="1"/>
      <c r="C588" s="1"/>
      <c r="D588" s="1"/>
      <c r="E588" s="1"/>
      <c r="F588" s="1"/>
      <c r="G588" s="1"/>
      <c r="H588" s="2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2:33" ht="13.2" x14ac:dyDescent="0.25">
      <c r="B589" s="1"/>
      <c r="C589" s="1"/>
      <c r="D589" s="1"/>
      <c r="E589" s="1"/>
      <c r="F589" s="1"/>
      <c r="G589" s="1"/>
      <c r="H589" s="2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2:33" ht="13.2" x14ac:dyDescent="0.25">
      <c r="B590" s="1"/>
      <c r="C590" s="1"/>
      <c r="D590" s="1"/>
      <c r="E590" s="1"/>
      <c r="F590" s="1"/>
      <c r="G590" s="1"/>
      <c r="H590" s="2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2:33" ht="13.2" x14ac:dyDescent="0.25">
      <c r="B591" s="1"/>
      <c r="C591" s="1"/>
      <c r="D591" s="1"/>
      <c r="E591" s="1"/>
      <c r="F591" s="1"/>
      <c r="G591" s="1"/>
      <c r="H591" s="2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2:33" ht="13.2" x14ac:dyDescent="0.25">
      <c r="B592" s="1"/>
      <c r="C592" s="1"/>
      <c r="D592" s="1"/>
      <c r="E592" s="1"/>
      <c r="F592" s="1"/>
      <c r="G592" s="1"/>
      <c r="H592" s="2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2:33" ht="13.2" x14ac:dyDescent="0.25">
      <c r="B593" s="1"/>
      <c r="C593" s="1"/>
      <c r="D593" s="1"/>
      <c r="E593" s="1"/>
      <c r="F593" s="1"/>
      <c r="G593" s="1"/>
      <c r="H593" s="2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2:33" ht="13.2" x14ac:dyDescent="0.25">
      <c r="B594" s="1"/>
      <c r="C594" s="1"/>
      <c r="D594" s="1"/>
      <c r="E594" s="1"/>
      <c r="F594" s="1"/>
      <c r="G594" s="1"/>
      <c r="H594" s="2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2:33" ht="13.2" x14ac:dyDescent="0.25">
      <c r="B595" s="1"/>
      <c r="C595" s="1"/>
      <c r="D595" s="1"/>
      <c r="E595" s="1"/>
      <c r="F595" s="1"/>
      <c r="G595" s="1"/>
      <c r="H595" s="2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2:33" ht="13.2" x14ac:dyDescent="0.25">
      <c r="B596" s="1"/>
      <c r="C596" s="1"/>
      <c r="D596" s="1"/>
      <c r="E596" s="1"/>
      <c r="F596" s="1"/>
      <c r="G596" s="1"/>
      <c r="H596" s="2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2:33" ht="13.2" x14ac:dyDescent="0.25">
      <c r="B597" s="1"/>
      <c r="C597" s="1"/>
      <c r="D597" s="1"/>
      <c r="E597" s="1"/>
      <c r="F597" s="1"/>
      <c r="G597" s="1"/>
      <c r="H597" s="2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2:33" ht="13.2" x14ac:dyDescent="0.25">
      <c r="B598" s="1"/>
      <c r="C598" s="1"/>
      <c r="D598" s="1"/>
      <c r="E598" s="1"/>
      <c r="F598" s="1"/>
      <c r="G598" s="1"/>
      <c r="H598" s="2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2:33" ht="13.2" x14ac:dyDescent="0.25">
      <c r="B599" s="1"/>
      <c r="C599" s="1"/>
      <c r="D599" s="1"/>
      <c r="E599" s="1"/>
      <c r="F599" s="1"/>
      <c r="G599" s="1"/>
      <c r="H599" s="2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2:33" ht="13.2" x14ac:dyDescent="0.25">
      <c r="B600" s="1"/>
      <c r="C600" s="1"/>
      <c r="D600" s="1"/>
      <c r="E600" s="1"/>
      <c r="F600" s="1"/>
      <c r="G600" s="1"/>
      <c r="H600" s="2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2:33" ht="13.2" x14ac:dyDescent="0.25">
      <c r="B601" s="1"/>
      <c r="C601" s="1"/>
      <c r="D601" s="1"/>
      <c r="E601" s="1"/>
      <c r="F601" s="1"/>
      <c r="G601" s="1"/>
      <c r="H601" s="2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2:33" ht="13.2" x14ac:dyDescent="0.25">
      <c r="B602" s="1"/>
      <c r="C602" s="1"/>
      <c r="D602" s="1"/>
      <c r="E602" s="1"/>
      <c r="F602" s="1"/>
      <c r="G602" s="1"/>
      <c r="H602" s="2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2:33" ht="13.2" x14ac:dyDescent="0.25">
      <c r="B603" s="1"/>
      <c r="C603" s="1"/>
      <c r="D603" s="1"/>
      <c r="E603" s="1"/>
      <c r="F603" s="1"/>
      <c r="G603" s="1"/>
      <c r="H603" s="2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2:33" ht="13.2" x14ac:dyDescent="0.25">
      <c r="B604" s="1"/>
      <c r="C604" s="1"/>
      <c r="D604" s="1"/>
      <c r="E604" s="1"/>
      <c r="F604" s="1"/>
      <c r="G604" s="1"/>
      <c r="H604" s="2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2:33" ht="13.2" x14ac:dyDescent="0.25">
      <c r="B605" s="1"/>
      <c r="C605" s="1"/>
      <c r="D605" s="1"/>
      <c r="E605" s="1"/>
      <c r="F605" s="1"/>
      <c r="G605" s="1"/>
      <c r="H605" s="2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2:33" ht="13.2" x14ac:dyDescent="0.25">
      <c r="B606" s="1"/>
      <c r="C606" s="1"/>
      <c r="D606" s="1"/>
      <c r="E606" s="1"/>
      <c r="F606" s="1"/>
      <c r="G606" s="1"/>
      <c r="H606" s="2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2:33" ht="13.2" x14ac:dyDescent="0.25">
      <c r="B607" s="1"/>
      <c r="C607" s="1"/>
      <c r="D607" s="1"/>
      <c r="E607" s="1"/>
      <c r="F607" s="1"/>
      <c r="G607" s="1"/>
      <c r="H607" s="2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2:33" ht="13.2" x14ac:dyDescent="0.25">
      <c r="B608" s="1"/>
      <c r="C608" s="1"/>
      <c r="D608" s="1"/>
      <c r="E608" s="1"/>
      <c r="F608" s="1"/>
      <c r="G608" s="1"/>
      <c r="H608" s="2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2:33" ht="13.2" x14ac:dyDescent="0.25">
      <c r="B609" s="1"/>
      <c r="C609" s="1"/>
      <c r="D609" s="1"/>
      <c r="E609" s="1"/>
      <c r="F609" s="1"/>
      <c r="G609" s="1"/>
      <c r="H609" s="2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2:33" ht="13.2" x14ac:dyDescent="0.25">
      <c r="B610" s="1"/>
      <c r="C610" s="1"/>
      <c r="D610" s="1"/>
      <c r="E610" s="1"/>
      <c r="F610" s="1"/>
      <c r="G610" s="1"/>
      <c r="H610" s="2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2:33" ht="13.2" x14ac:dyDescent="0.25">
      <c r="B611" s="1"/>
      <c r="C611" s="1"/>
      <c r="D611" s="1"/>
      <c r="E611" s="1"/>
      <c r="F611" s="1"/>
      <c r="G611" s="1"/>
      <c r="H611" s="2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2:33" ht="13.2" x14ac:dyDescent="0.25">
      <c r="B612" s="1"/>
      <c r="C612" s="1"/>
      <c r="D612" s="1"/>
      <c r="E612" s="1"/>
      <c r="F612" s="1"/>
      <c r="G612" s="1"/>
      <c r="H612" s="2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2:33" ht="13.2" x14ac:dyDescent="0.25">
      <c r="B613" s="1"/>
      <c r="C613" s="1"/>
      <c r="D613" s="1"/>
      <c r="E613" s="1"/>
      <c r="F613" s="1"/>
      <c r="G613" s="1"/>
      <c r="H613" s="2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2:33" ht="13.2" x14ac:dyDescent="0.25">
      <c r="B614" s="1"/>
      <c r="C614" s="1"/>
      <c r="D614" s="1"/>
      <c r="E614" s="1"/>
      <c r="F614" s="1"/>
      <c r="G614" s="1"/>
      <c r="H614" s="2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2:33" ht="13.2" x14ac:dyDescent="0.25">
      <c r="B615" s="1"/>
      <c r="C615" s="1"/>
      <c r="D615" s="1"/>
      <c r="E615" s="1"/>
      <c r="F615" s="1"/>
      <c r="G615" s="1"/>
      <c r="H615" s="2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2:33" ht="13.2" x14ac:dyDescent="0.25">
      <c r="B616" s="1"/>
      <c r="C616" s="1"/>
      <c r="D616" s="1"/>
      <c r="E616" s="1"/>
      <c r="F616" s="1"/>
      <c r="G616" s="1"/>
      <c r="H616" s="2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2:33" ht="13.2" x14ac:dyDescent="0.25">
      <c r="B617" s="1"/>
      <c r="C617" s="1"/>
      <c r="D617" s="1"/>
      <c r="E617" s="1"/>
      <c r="F617" s="1"/>
      <c r="G617" s="1"/>
      <c r="H617" s="2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2:33" ht="13.2" x14ac:dyDescent="0.25">
      <c r="B618" s="1"/>
      <c r="C618" s="1"/>
      <c r="D618" s="1"/>
      <c r="E618" s="1"/>
      <c r="F618" s="1"/>
      <c r="G618" s="1"/>
      <c r="H618" s="2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2:33" ht="13.2" x14ac:dyDescent="0.25">
      <c r="B619" s="1"/>
      <c r="C619" s="1"/>
      <c r="D619" s="1"/>
      <c r="E619" s="1"/>
      <c r="F619" s="1"/>
      <c r="G619" s="1"/>
      <c r="H619" s="2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2:33" ht="13.2" x14ac:dyDescent="0.25">
      <c r="B620" s="1"/>
      <c r="C620" s="1"/>
      <c r="D620" s="1"/>
      <c r="E620" s="1"/>
      <c r="F620" s="1"/>
      <c r="G620" s="1"/>
      <c r="H620" s="2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2:33" ht="13.2" x14ac:dyDescent="0.25">
      <c r="B621" s="1"/>
      <c r="C621" s="1"/>
      <c r="D621" s="1"/>
      <c r="E621" s="1"/>
      <c r="F621" s="1"/>
      <c r="G621" s="1"/>
      <c r="H621" s="2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2:33" ht="13.2" x14ac:dyDescent="0.25">
      <c r="B622" s="1"/>
      <c r="C622" s="1"/>
      <c r="D622" s="1"/>
      <c r="E622" s="1"/>
      <c r="F622" s="1"/>
      <c r="G622" s="1"/>
      <c r="H622" s="2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2:33" ht="13.2" x14ac:dyDescent="0.25">
      <c r="B623" s="1"/>
      <c r="C623" s="1"/>
      <c r="D623" s="1"/>
      <c r="E623" s="1"/>
      <c r="F623" s="1"/>
      <c r="G623" s="1"/>
      <c r="H623" s="2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2:33" ht="13.2" x14ac:dyDescent="0.25">
      <c r="B624" s="1"/>
      <c r="C624" s="1"/>
      <c r="D624" s="1"/>
      <c r="E624" s="1"/>
      <c r="F624" s="1"/>
      <c r="G624" s="1"/>
      <c r="H624" s="2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2:33" ht="13.2" x14ac:dyDescent="0.25">
      <c r="B625" s="1"/>
      <c r="C625" s="1"/>
      <c r="D625" s="1"/>
      <c r="E625" s="1"/>
      <c r="F625" s="1"/>
      <c r="G625" s="1"/>
      <c r="H625" s="2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2:33" ht="13.2" x14ac:dyDescent="0.25">
      <c r="B626" s="1"/>
      <c r="C626" s="1"/>
      <c r="D626" s="1"/>
      <c r="E626" s="1"/>
      <c r="F626" s="1"/>
      <c r="G626" s="1"/>
      <c r="H626" s="2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2:33" ht="13.2" x14ac:dyDescent="0.25">
      <c r="B627" s="1"/>
      <c r="C627" s="1"/>
      <c r="D627" s="1"/>
      <c r="E627" s="1"/>
      <c r="F627" s="1"/>
      <c r="G627" s="1"/>
      <c r="H627" s="2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2:33" ht="13.2" x14ac:dyDescent="0.25">
      <c r="B628" s="1"/>
      <c r="C628" s="1"/>
      <c r="D628" s="1"/>
      <c r="E628" s="1"/>
      <c r="F628" s="1"/>
      <c r="G628" s="1"/>
      <c r="H628" s="2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2:33" ht="13.2" x14ac:dyDescent="0.25">
      <c r="B629" s="1"/>
      <c r="C629" s="1"/>
      <c r="D629" s="1"/>
      <c r="E629" s="1"/>
      <c r="F629" s="1"/>
      <c r="G629" s="1"/>
      <c r="H629" s="2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2:33" ht="13.2" x14ac:dyDescent="0.25">
      <c r="B630" s="1"/>
      <c r="C630" s="1"/>
      <c r="D630" s="1"/>
      <c r="E630" s="1"/>
      <c r="F630" s="1"/>
      <c r="G630" s="1"/>
      <c r="H630" s="2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2:33" ht="13.2" x14ac:dyDescent="0.25">
      <c r="B631" s="1"/>
      <c r="C631" s="1"/>
      <c r="D631" s="1"/>
      <c r="E631" s="1"/>
      <c r="F631" s="1"/>
      <c r="G631" s="1"/>
      <c r="H631" s="2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2:33" ht="13.2" x14ac:dyDescent="0.25">
      <c r="B632" s="1"/>
      <c r="C632" s="1"/>
      <c r="D632" s="1"/>
      <c r="E632" s="1"/>
      <c r="F632" s="1"/>
      <c r="G632" s="1"/>
      <c r="H632" s="2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2:33" ht="13.2" x14ac:dyDescent="0.25">
      <c r="B633" s="1"/>
      <c r="C633" s="1"/>
      <c r="D633" s="1"/>
      <c r="E633" s="1"/>
      <c r="F633" s="1"/>
      <c r="G633" s="1"/>
      <c r="H633" s="2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2:33" ht="13.2" x14ac:dyDescent="0.25">
      <c r="B634" s="1"/>
      <c r="C634" s="1"/>
      <c r="D634" s="1"/>
      <c r="E634" s="1"/>
      <c r="F634" s="1"/>
      <c r="G634" s="1"/>
      <c r="H634" s="2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2:33" ht="13.2" x14ac:dyDescent="0.25">
      <c r="B635" s="1"/>
      <c r="C635" s="1"/>
      <c r="D635" s="1"/>
      <c r="E635" s="1"/>
      <c r="F635" s="1"/>
      <c r="G635" s="1"/>
      <c r="H635" s="2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2:33" ht="13.2" x14ac:dyDescent="0.25">
      <c r="B636" s="1"/>
      <c r="C636" s="1"/>
      <c r="D636" s="1"/>
      <c r="E636" s="1"/>
      <c r="F636" s="1"/>
      <c r="G636" s="1"/>
      <c r="H636" s="2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2:33" ht="13.2" x14ac:dyDescent="0.25">
      <c r="B637" s="1"/>
      <c r="C637" s="1"/>
      <c r="D637" s="1"/>
      <c r="E637" s="1"/>
      <c r="F637" s="1"/>
      <c r="G637" s="1"/>
      <c r="H637" s="2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2:33" ht="13.2" x14ac:dyDescent="0.25">
      <c r="B638" s="1"/>
      <c r="C638" s="1"/>
      <c r="D638" s="1"/>
      <c r="E638" s="1"/>
      <c r="F638" s="1"/>
      <c r="G638" s="1"/>
      <c r="H638" s="2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2:33" ht="13.2" x14ac:dyDescent="0.25">
      <c r="B639" s="1"/>
      <c r="C639" s="1"/>
      <c r="D639" s="1"/>
      <c r="E639" s="1"/>
      <c r="F639" s="1"/>
      <c r="G639" s="1"/>
      <c r="H639" s="2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2:33" ht="13.2" x14ac:dyDescent="0.25">
      <c r="B640" s="1"/>
      <c r="C640" s="1"/>
      <c r="D640" s="1"/>
      <c r="E640" s="1"/>
      <c r="F640" s="1"/>
      <c r="G640" s="1"/>
      <c r="H640" s="2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2:33" ht="13.2" x14ac:dyDescent="0.25">
      <c r="B641" s="1"/>
      <c r="C641" s="1"/>
      <c r="D641" s="1"/>
      <c r="E641" s="1"/>
      <c r="F641" s="1"/>
      <c r="G641" s="1"/>
      <c r="H641" s="2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2:33" ht="13.2" x14ac:dyDescent="0.25">
      <c r="B642" s="1"/>
      <c r="C642" s="1"/>
      <c r="D642" s="1"/>
      <c r="E642" s="1"/>
      <c r="F642" s="1"/>
      <c r="G642" s="1"/>
      <c r="H642" s="2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2:33" ht="13.2" x14ac:dyDescent="0.25">
      <c r="B643" s="1"/>
      <c r="C643" s="1"/>
      <c r="D643" s="1"/>
      <c r="E643" s="1"/>
      <c r="F643" s="1"/>
      <c r="G643" s="1"/>
      <c r="H643" s="2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2:33" ht="13.2" x14ac:dyDescent="0.25">
      <c r="B644" s="1"/>
      <c r="C644" s="1"/>
      <c r="D644" s="1"/>
      <c r="E644" s="1"/>
      <c r="F644" s="1"/>
      <c r="G644" s="1"/>
      <c r="H644" s="2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2:33" ht="13.2" x14ac:dyDescent="0.25">
      <c r="B645" s="1"/>
      <c r="C645" s="1"/>
      <c r="D645" s="1"/>
      <c r="E645" s="1"/>
      <c r="F645" s="1"/>
      <c r="G645" s="1"/>
      <c r="H645" s="2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2:33" ht="13.2" x14ac:dyDescent="0.25">
      <c r="B646" s="1"/>
      <c r="C646" s="1"/>
      <c r="D646" s="1"/>
      <c r="E646" s="1"/>
      <c r="F646" s="1"/>
      <c r="G646" s="1"/>
      <c r="H646" s="2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2:33" ht="13.2" x14ac:dyDescent="0.25">
      <c r="B647" s="1"/>
      <c r="C647" s="1"/>
      <c r="D647" s="1"/>
      <c r="E647" s="1"/>
      <c r="F647" s="1"/>
      <c r="G647" s="1"/>
      <c r="H647" s="2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2:33" ht="13.2" x14ac:dyDescent="0.25">
      <c r="B648" s="1"/>
      <c r="C648" s="1"/>
      <c r="D648" s="1"/>
      <c r="E648" s="1"/>
      <c r="F648" s="1"/>
      <c r="G648" s="1"/>
      <c r="H648" s="2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2:33" ht="13.2" x14ac:dyDescent="0.25">
      <c r="B649" s="1"/>
      <c r="C649" s="1"/>
      <c r="D649" s="1"/>
      <c r="E649" s="1"/>
      <c r="F649" s="1"/>
      <c r="G649" s="1"/>
      <c r="H649" s="2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2:33" ht="13.2" x14ac:dyDescent="0.25">
      <c r="B650" s="1"/>
      <c r="C650" s="1"/>
      <c r="D650" s="1"/>
      <c r="E650" s="1"/>
      <c r="F650" s="1"/>
      <c r="G650" s="1"/>
      <c r="H650" s="2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2:33" ht="13.2" x14ac:dyDescent="0.25">
      <c r="B651" s="1"/>
      <c r="C651" s="1"/>
      <c r="D651" s="1"/>
      <c r="E651" s="1"/>
      <c r="F651" s="1"/>
      <c r="G651" s="1"/>
      <c r="H651" s="2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2:33" ht="13.2" x14ac:dyDescent="0.25">
      <c r="B652" s="1"/>
      <c r="C652" s="1"/>
      <c r="D652" s="1"/>
      <c r="E652" s="1"/>
      <c r="F652" s="1"/>
      <c r="G652" s="1"/>
      <c r="H652" s="2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2:33" ht="13.2" x14ac:dyDescent="0.25">
      <c r="B653" s="1"/>
      <c r="C653" s="1"/>
      <c r="D653" s="1"/>
      <c r="E653" s="1"/>
      <c r="F653" s="1"/>
      <c r="G653" s="1"/>
      <c r="H653" s="2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2:33" ht="13.2" x14ac:dyDescent="0.25">
      <c r="B654" s="1"/>
      <c r="C654" s="1"/>
      <c r="D654" s="1"/>
      <c r="E654" s="1"/>
      <c r="F654" s="1"/>
      <c r="G654" s="1"/>
      <c r="H654" s="2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2:33" ht="13.2" x14ac:dyDescent="0.25">
      <c r="B655" s="1"/>
      <c r="C655" s="1"/>
      <c r="D655" s="1"/>
      <c r="E655" s="1"/>
      <c r="F655" s="1"/>
      <c r="G655" s="1"/>
      <c r="H655" s="2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2:33" ht="13.2" x14ac:dyDescent="0.25">
      <c r="B656" s="1"/>
      <c r="C656" s="1"/>
      <c r="D656" s="1"/>
      <c r="E656" s="1"/>
      <c r="F656" s="1"/>
      <c r="G656" s="1"/>
      <c r="H656" s="2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2:33" ht="13.2" x14ac:dyDescent="0.25">
      <c r="B657" s="1"/>
      <c r="C657" s="1"/>
      <c r="D657" s="1"/>
      <c r="E657" s="1"/>
      <c r="F657" s="1"/>
      <c r="G657" s="1"/>
      <c r="H657" s="2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2:33" ht="13.2" x14ac:dyDescent="0.25">
      <c r="B658" s="1"/>
      <c r="C658" s="1"/>
      <c r="D658" s="1"/>
      <c r="E658" s="1"/>
      <c r="F658" s="1"/>
      <c r="G658" s="1"/>
      <c r="H658" s="2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2:33" ht="13.2" x14ac:dyDescent="0.25">
      <c r="B659" s="1"/>
      <c r="C659" s="1"/>
      <c r="D659" s="1"/>
      <c r="E659" s="1"/>
      <c r="F659" s="1"/>
      <c r="G659" s="1"/>
      <c r="H659" s="2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2:33" ht="13.2" x14ac:dyDescent="0.25">
      <c r="B660" s="1"/>
      <c r="C660" s="1"/>
      <c r="D660" s="1"/>
      <c r="E660" s="1"/>
      <c r="F660" s="1"/>
      <c r="G660" s="1"/>
      <c r="H660" s="2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2:33" ht="13.2" x14ac:dyDescent="0.25">
      <c r="B661" s="1"/>
      <c r="C661" s="1"/>
      <c r="D661" s="1"/>
      <c r="E661" s="1"/>
      <c r="F661" s="1"/>
      <c r="G661" s="1"/>
      <c r="H661" s="2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2:33" ht="13.2" x14ac:dyDescent="0.25">
      <c r="B662" s="1"/>
      <c r="C662" s="1"/>
      <c r="D662" s="1"/>
      <c r="E662" s="1"/>
      <c r="F662" s="1"/>
      <c r="G662" s="1"/>
      <c r="H662" s="2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2:33" ht="13.2" x14ac:dyDescent="0.25">
      <c r="B663" s="1"/>
      <c r="C663" s="1"/>
      <c r="D663" s="1"/>
      <c r="E663" s="1"/>
      <c r="F663" s="1"/>
      <c r="G663" s="1"/>
      <c r="H663" s="2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2:33" ht="13.2" x14ac:dyDescent="0.25">
      <c r="B664" s="1"/>
      <c r="C664" s="1"/>
      <c r="D664" s="1"/>
      <c r="E664" s="1"/>
      <c r="F664" s="1"/>
      <c r="G664" s="1"/>
      <c r="H664" s="2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2:33" ht="13.2" x14ac:dyDescent="0.25">
      <c r="B665" s="1"/>
      <c r="C665" s="1"/>
      <c r="D665" s="1"/>
      <c r="E665" s="1"/>
      <c r="F665" s="1"/>
      <c r="G665" s="1"/>
      <c r="H665" s="2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2:33" ht="13.2" x14ac:dyDescent="0.25">
      <c r="B666" s="1"/>
      <c r="C666" s="1"/>
      <c r="D666" s="1"/>
      <c r="E666" s="1"/>
      <c r="F666" s="1"/>
      <c r="G666" s="1"/>
      <c r="H666" s="2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2:33" ht="13.2" x14ac:dyDescent="0.25">
      <c r="B667" s="1"/>
      <c r="C667" s="1"/>
      <c r="D667" s="1"/>
      <c r="E667" s="1"/>
      <c r="F667" s="1"/>
      <c r="G667" s="1"/>
      <c r="H667" s="2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2:33" ht="13.2" x14ac:dyDescent="0.25">
      <c r="B668" s="1"/>
      <c r="C668" s="1"/>
      <c r="D668" s="1"/>
      <c r="E668" s="1"/>
      <c r="F668" s="1"/>
      <c r="G668" s="1"/>
      <c r="H668" s="2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2:33" ht="13.2" x14ac:dyDescent="0.25">
      <c r="B669" s="1"/>
      <c r="C669" s="1"/>
      <c r="D669" s="1"/>
      <c r="E669" s="1"/>
      <c r="F669" s="1"/>
      <c r="G669" s="1"/>
      <c r="H669" s="2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2:33" ht="13.2" x14ac:dyDescent="0.25">
      <c r="B670" s="1"/>
      <c r="C670" s="1"/>
      <c r="D670" s="1"/>
      <c r="E670" s="1"/>
      <c r="F670" s="1"/>
      <c r="G670" s="1"/>
      <c r="H670" s="2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2:33" ht="13.2" x14ac:dyDescent="0.25">
      <c r="B671" s="1"/>
      <c r="C671" s="1"/>
      <c r="D671" s="1"/>
      <c r="E671" s="1"/>
      <c r="F671" s="1"/>
      <c r="G671" s="1"/>
      <c r="H671" s="2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2:33" ht="13.2" x14ac:dyDescent="0.25">
      <c r="B672" s="1"/>
      <c r="C672" s="1"/>
      <c r="D672" s="1"/>
      <c r="E672" s="1"/>
      <c r="F672" s="1"/>
      <c r="G672" s="1"/>
      <c r="H672" s="2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2:33" ht="13.2" x14ac:dyDescent="0.25">
      <c r="B673" s="1"/>
      <c r="C673" s="1"/>
      <c r="D673" s="1"/>
      <c r="E673" s="1"/>
      <c r="F673" s="1"/>
      <c r="G673" s="1"/>
      <c r="H673" s="2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2:33" ht="13.2" x14ac:dyDescent="0.25">
      <c r="B674" s="1"/>
      <c r="C674" s="1"/>
      <c r="D674" s="1"/>
      <c r="E674" s="1"/>
      <c r="F674" s="1"/>
      <c r="G674" s="1"/>
      <c r="H674" s="2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2:33" ht="13.2" x14ac:dyDescent="0.25">
      <c r="B675" s="1"/>
      <c r="C675" s="1"/>
      <c r="D675" s="1"/>
      <c r="E675" s="1"/>
      <c r="F675" s="1"/>
      <c r="G675" s="1"/>
      <c r="H675" s="2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2:33" ht="13.2" x14ac:dyDescent="0.25">
      <c r="B676" s="1"/>
      <c r="C676" s="1"/>
      <c r="D676" s="1"/>
      <c r="E676" s="1"/>
      <c r="F676" s="1"/>
      <c r="G676" s="1"/>
      <c r="H676" s="2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2:33" ht="13.2" x14ac:dyDescent="0.25">
      <c r="B677" s="1"/>
      <c r="C677" s="1"/>
      <c r="D677" s="1"/>
      <c r="E677" s="1"/>
      <c r="F677" s="1"/>
      <c r="G677" s="1"/>
      <c r="H677" s="2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2:33" ht="13.2" x14ac:dyDescent="0.25">
      <c r="B678" s="1"/>
      <c r="C678" s="1"/>
      <c r="D678" s="1"/>
      <c r="E678" s="1"/>
      <c r="F678" s="1"/>
      <c r="G678" s="1"/>
      <c r="H678" s="2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2:33" ht="13.2" x14ac:dyDescent="0.25">
      <c r="B679" s="1"/>
      <c r="C679" s="1"/>
      <c r="D679" s="1"/>
      <c r="E679" s="1"/>
      <c r="F679" s="1"/>
      <c r="G679" s="1"/>
      <c r="H679" s="2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2:33" ht="13.2" x14ac:dyDescent="0.25">
      <c r="B680" s="1"/>
      <c r="C680" s="1"/>
      <c r="D680" s="1"/>
      <c r="E680" s="1"/>
      <c r="F680" s="1"/>
      <c r="G680" s="1"/>
      <c r="H680" s="2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2:33" ht="13.2" x14ac:dyDescent="0.25">
      <c r="B681" s="1"/>
      <c r="C681" s="1"/>
      <c r="D681" s="1"/>
      <c r="E681" s="1"/>
      <c r="F681" s="1"/>
      <c r="G681" s="1"/>
      <c r="H681" s="2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2:33" ht="13.2" x14ac:dyDescent="0.25">
      <c r="B682" s="1"/>
      <c r="C682" s="1"/>
      <c r="D682" s="1"/>
      <c r="E682" s="1"/>
      <c r="F682" s="1"/>
      <c r="G682" s="1"/>
      <c r="H682" s="2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2:33" ht="13.2" x14ac:dyDescent="0.25">
      <c r="B683" s="1"/>
      <c r="C683" s="1"/>
      <c r="D683" s="1"/>
      <c r="E683" s="1"/>
      <c r="F683" s="1"/>
      <c r="G683" s="1"/>
      <c r="H683" s="2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2:33" ht="13.2" x14ac:dyDescent="0.25">
      <c r="B684" s="1"/>
      <c r="C684" s="1"/>
      <c r="D684" s="1"/>
      <c r="E684" s="1"/>
      <c r="F684" s="1"/>
      <c r="G684" s="1"/>
      <c r="H684" s="2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2:33" ht="13.2" x14ac:dyDescent="0.25">
      <c r="B685" s="1"/>
      <c r="C685" s="1"/>
      <c r="D685" s="1"/>
      <c r="E685" s="1"/>
      <c r="F685" s="1"/>
      <c r="G685" s="1"/>
      <c r="H685" s="2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2:33" ht="13.2" x14ac:dyDescent="0.25">
      <c r="B686" s="1"/>
      <c r="C686" s="1"/>
      <c r="D686" s="1"/>
      <c r="E686" s="1"/>
      <c r="F686" s="1"/>
      <c r="G686" s="1"/>
      <c r="H686" s="2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2:33" ht="13.2" x14ac:dyDescent="0.25">
      <c r="B687" s="1"/>
      <c r="C687" s="1"/>
      <c r="D687" s="1"/>
      <c r="E687" s="1"/>
      <c r="F687" s="1"/>
      <c r="G687" s="1"/>
      <c r="H687" s="2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2:33" ht="13.2" x14ac:dyDescent="0.25">
      <c r="B688" s="1"/>
      <c r="C688" s="1"/>
      <c r="D688" s="1"/>
      <c r="E688" s="1"/>
      <c r="F688" s="1"/>
      <c r="G688" s="1"/>
      <c r="H688" s="2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2:33" ht="13.2" x14ac:dyDescent="0.25">
      <c r="B689" s="1"/>
      <c r="C689" s="1"/>
      <c r="D689" s="1"/>
      <c r="E689" s="1"/>
      <c r="F689" s="1"/>
      <c r="G689" s="1"/>
      <c r="H689" s="2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2:33" ht="13.2" x14ac:dyDescent="0.25">
      <c r="B690" s="1"/>
      <c r="C690" s="1"/>
      <c r="D690" s="1"/>
      <c r="E690" s="1"/>
      <c r="F690" s="1"/>
      <c r="G690" s="1"/>
      <c r="H690" s="2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2:33" ht="13.2" x14ac:dyDescent="0.25">
      <c r="B691" s="1"/>
      <c r="C691" s="1"/>
      <c r="D691" s="1"/>
      <c r="E691" s="1"/>
      <c r="F691" s="1"/>
      <c r="G691" s="1"/>
      <c r="H691" s="2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2:33" ht="13.2" x14ac:dyDescent="0.25">
      <c r="B692" s="1"/>
      <c r="C692" s="1"/>
      <c r="D692" s="1"/>
      <c r="E692" s="1"/>
      <c r="F692" s="1"/>
      <c r="G692" s="1"/>
      <c r="H692" s="2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2:33" ht="13.2" x14ac:dyDescent="0.25">
      <c r="B693" s="1"/>
      <c r="C693" s="1"/>
      <c r="D693" s="1"/>
      <c r="E693" s="1"/>
      <c r="F693" s="1"/>
      <c r="G693" s="1"/>
      <c r="H693" s="2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2:33" ht="13.2" x14ac:dyDescent="0.25">
      <c r="B694" s="1"/>
      <c r="C694" s="1"/>
      <c r="D694" s="1"/>
      <c r="E694" s="1"/>
      <c r="F694" s="1"/>
      <c r="G694" s="1"/>
      <c r="H694" s="2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2:33" ht="13.2" x14ac:dyDescent="0.25">
      <c r="B695" s="1"/>
      <c r="C695" s="1"/>
      <c r="D695" s="1"/>
      <c r="E695" s="1"/>
      <c r="F695" s="1"/>
      <c r="G695" s="1"/>
      <c r="H695" s="2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2:33" ht="13.2" x14ac:dyDescent="0.25">
      <c r="B696" s="1"/>
      <c r="C696" s="1"/>
      <c r="D696" s="1"/>
      <c r="E696" s="1"/>
      <c r="F696" s="1"/>
      <c r="G696" s="1"/>
      <c r="H696" s="2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2:33" ht="13.2" x14ac:dyDescent="0.25">
      <c r="B697" s="1"/>
      <c r="C697" s="1"/>
      <c r="D697" s="1"/>
      <c r="E697" s="1"/>
      <c r="F697" s="1"/>
      <c r="G697" s="1"/>
      <c r="H697" s="2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2:33" ht="13.2" x14ac:dyDescent="0.25">
      <c r="B698" s="1"/>
      <c r="C698" s="1"/>
      <c r="D698" s="1"/>
      <c r="E698" s="1"/>
      <c r="F698" s="1"/>
      <c r="G698" s="1"/>
      <c r="H698" s="2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2:33" ht="13.2" x14ac:dyDescent="0.25">
      <c r="B699" s="1"/>
      <c r="C699" s="1"/>
      <c r="D699" s="1"/>
      <c r="E699" s="1"/>
      <c r="F699" s="1"/>
      <c r="G699" s="1"/>
      <c r="H699" s="2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2:33" ht="13.2" x14ac:dyDescent="0.25">
      <c r="B700" s="1"/>
      <c r="C700" s="1"/>
      <c r="D700" s="1"/>
      <c r="E700" s="1"/>
      <c r="F700" s="1"/>
      <c r="G700" s="1"/>
      <c r="H700" s="2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2:33" ht="13.2" x14ac:dyDescent="0.25">
      <c r="B701" s="1"/>
      <c r="C701" s="1"/>
      <c r="D701" s="1"/>
      <c r="E701" s="1"/>
      <c r="F701" s="1"/>
      <c r="G701" s="1"/>
      <c r="H701" s="2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2:33" ht="13.2" x14ac:dyDescent="0.25">
      <c r="B702" s="1"/>
      <c r="C702" s="1"/>
      <c r="D702" s="1"/>
      <c r="E702" s="1"/>
      <c r="F702" s="1"/>
      <c r="G702" s="1"/>
      <c r="H702" s="2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2:33" ht="13.2" x14ac:dyDescent="0.25">
      <c r="B703" s="1"/>
      <c r="C703" s="1"/>
      <c r="D703" s="1"/>
      <c r="E703" s="1"/>
      <c r="F703" s="1"/>
      <c r="G703" s="1"/>
      <c r="H703" s="2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2:33" ht="13.2" x14ac:dyDescent="0.25">
      <c r="B704" s="1"/>
      <c r="C704" s="1"/>
      <c r="D704" s="1"/>
      <c r="E704" s="1"/>
      <c r="F704" s="1"/>
      <c r="G704" s="1"/>
      <c r="H704" s="2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2:33" ht="13.2" x14ac:dyDescent="0.25">
      <c r="B705" s="1"/>
      <c r="C705" s="1"/>
      <c r="D705" s="1"/>
      <c r="E705" s="1"/>
      <c r="F705" s="1"/>
      <c r="G705" s="1"/>
      <c r="H705" s="2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2:33" ht="13.2" x14ac:dyDescent="0.25">
      <c r="B706" s="1"/>
      <c r="C706" s="1"/>
      <c r="D706" s="1"/>
      <c r="E706" s="1"/>
      <c r="F706" s="1"/>
      <c r="G706" s="1"/>
      <c r="H706" s="2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2:33" ht="13.2" x14ac:dyDescent="0.25">
      <c r="B707" s="1"/>
      <c r="C707" s="1"/>
      <c r="D707" s="1"/>
      <c r="E707" s="1"/>
      <c r="F707" s="1"/>
      <c r="G707" s="1"/>
      <c r="H707" s="2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2:33" ht="13.2" x14ac:dyDescent="0.25">
      <c r="B708" s="1"/>
      <c r="C708" s="1"/>
      <c r="D708" s="1"/>
      <c r="E708" s="1"/>
      <c r="F708" s="1"/>
      <c r="G708" s="1"/>
      <c r="H708" s="2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2:33" ht="13.2" x14ac:dyDescent="0.25">
      <c r="B709" s="1"/>
      <c r="C709" s="1"/>
      <c r="D709" s="1"/>
      <c r="E709" s="1"/>
      <c r="F709" s="1"/>
      <c r="G709" s="1"/>
      <c r="H709" s="2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2:33" ht="13.2" x14ac:dyDescent="0.25">
      <c r="B710" s="1"/>
      <c r="C710" s="1"/>
      <c r="D710" s="1"/>
      <c r="E710" s="1"/>
      <c r="F710" s="1"/>
      <c r="G710" s="1"/>
      <c r="H710" s="2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2:33" ht="13.2" x14ac:dyDescent="0.25">
      <c r="B711" s="1"/>
      <c r="C711" s="1"/>
      <c r="D711" s="1"/>
      <c r="E711" s="1"/>
      <c r="F711" s="1"/>
      <c r="G711" s="1"/>
      <c r="H711" s="2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2:33" ht="13.2" x14ac:dyDescent="0.25">
      <c r="B712" s="1"/>
      <c r="C712" s="1"/>
      <c r="D712" s="1"/>
      <c r="E712" s="1"/>
      <c r="F712" s="1"/>
      <c r="G712" s="1"/>
      <c r="H712" s="2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2:33" ht="13.2" x14ac:dyDescent="0.25">
      <c r="B713" s="1"/>
      <c r="C713" s="1"/>
      <c r="D713" s="1"/>
      <c r="E713" s="1"/>
      <c r="F713" s="1"/>
      <c r="G713" s="1"/>
      <c r="H713" s="2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2:33" ht="13.2" x14ac:dyDescent="0.25">
      <c r="B714" s="1"/>
      <c r="C714" s="1"/>
      <c r="D714" s="1"/>
      <c r="E714" s="1"/>
      <c r="F714" s="1"/>
      <c r="G714" s="1"/>
      <c r="H714" s="2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2:33" ht="13.2" x14ac:dyDescent="0.25">
      <c r="B715" s="1"/>
      <c r="C715" s="1"/>
      <c r="D715" s="1"/>
      <c r="E715" s="1"/>
      <c r="F715" s="1"/>
      <c r="G715" s="1"/>
      <c r="H715" s="2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2:33" ht="13.2" x14ac:dyDescent="0.25">
      <c r="B716" s="1"/>
      <c r="C716" s="1"/>
      <c r="D716" s="1"/>
      <c r="E716" s="1"/>
      <c r="F716" s="1"/>
      <c r="G716" s="1"/>
      <c r="H716" s="2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2:33" ht="13.2" x14ac:dyDescent="0.25">
      <c r="B717" s="1"/>
      <c r="C717" s="1"/>
      <c r="D717" s="1"/>
      <c r="E717" s="1"/>
      <c r="F717" s="1"/>
      <c r="G717" s="1"/>
      <c r="H717" s="2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2:33" ht="13.2" x14ac:dyDescent="0.25">
      <c r="B718" s="1"/>
      <c r="C718" s="1"/>
      <c r="D718" s="1"/>
      <c r="E718" s="1"/>
      <c r="F718" s="1"/>
      <c r="G718" s="1"/>
      <c r="H718" s="2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2:33" ht="13.2" x14ac:dyDescent="0.25">
      <c r="B719" s="1"/>
      <c r="C719" s="1"/>
      <c r="D719" s="1"/>
      <c r="E719" s="1"/>
      <c r="F719" s="1"/>
      <c r="G719" s="1"/>
      <c r="H719" s="2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2:33" ht="13.2" x14ac:dyDescent="0.25">
      <c r="B720" s="1"/>
      <c r="C720" s="1"/>
      <c r="D720" s="1"/>
      <c r="E720" s="1"/>
      <c r="F720" s="1"/>
      <c r="G720" s="1"/>
      <c r="H720" s="2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2:33" ht="13.2" x14ac:dyDescent="0.25">
      <c r="B721" s="1"/>
      <c r="C721" s="1"/>
      <c r="D721" s="1"/>
      <c r="E721" s="1"/>
      <c r="F721" s="1"/>
      <c r="G721" s="1"/>
      <c r="H721" s="2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2:33" ht="13.2" x14ac:dyDescent="0.25">
      <c r="B722" s="1"/>
      <c r="C722" s="1"/>
      <c r="D722" s="1"/>
      <c r="E722" s="1"/>
      <c r="F722" s="1"/>
      <c r="G722" s="1"/>
      <c r="H722" s="2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2:33" ht="13.2" x14ac:dyDescent="0.25">
      <c r="B723" s="1"/>
      <c r="C723" s="1"/>
      <c r="D723" s="1"/>
      <c r="E723" s="1"/>
      <c r="F723" s="1"/>
      <c r="G723" s="1"/>
      <c r="H723" s="2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2:33" ht="13.2" x14ac:dyDescent="0.25">
      <c r="B724" s="1"/>
      <c r="C724" s="1"/>
      <c r="D724" s="1"/>
      <c r="E724" s="1"/>
      <c r="F724" s="1"/>
      <c r="G724" s="1"/>
      <c r="H724" s="2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2:33" ht="13.2" x14ac:dyDescent="0.25">
      <c r="B725" s="1"/>
      <c r="C725" s="1"/>
      <c r="D725" s="1"/>
      <c r="E725" s="1"/>
      <c r="F725" s="1"/>
      <c r="G725" s="1"/>
      <c r="H725" s="2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2:33" ht="13.2" x14ac:dyDescent="0.25">
      <c r="B726" s="1"/>
      <c r="C726" s="1"/>
      <c r="D726" s="1"/>
      <c r="E726" s="1"/>
      <c r="F726" s="1"/>
      <c r="G726" s="1"/>
      <c r="H726" s="2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2:33" ht="13.2" x14ac:dyDescent="0.25">
      <c r="B727" s="1"/>
      <c r="C727" s="1"/>
      <c r="D727" s="1"/>
      <c r="E727" s="1"/>
      <c r="F727" s="1"/>
      <c r="G727" s="1"/>
      <c r="H727" s="2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2:33" ht="13.2" x14ac:dyDescent="0.25">
      <c r="B728" s="1"/>
      <c r="C728" s="1"/>
      <c r="D728" s="1"/>
      <c r="E728" s="1"/>
      <c r="F728" s="1"/>
      <c r="G728" s="1"/>
      <c r="H728" s="2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2:33" ht="13.2" x14ac:dyDescent="0.25">
      <c r="B729" s="1"/>
      <c r="C729" s="1"/>
      <c r="D729" s="1"/>
      <c r="E729" s="1"/>
      <c r="F729" s="1"/>
      <c r="G729" s="1"/>
      <c r="H729" s="2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2:33" ht="13.2" x14ac:dyDescent="0.25">
      <c r="B730" s="1"/>
      <c r="C730" s="1"/>
      <c r="D730" s="1"/>
      <c r="E730" s="1"/>
      <c r="F730" s="1"/>
      <c r="G730" s="1"/>
      <c r="H730" s="2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2:33" ht="13.2" x14ac:dyDescent="0.25">
      <c r="B731" s="1"/>
      <c r="C731" s="1"/>
      <c r="D731" s="1"/>
      <c r="E731" s="1"/>
      <c r="F731" s="1"/>
      <c r="G731" s="1"/>
      <c r="H731" s="2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2:33" ht="13.2" x14ac:dyDescent="0.25">
      <c r="B732" s="1"/>
      <c r="C732" s="1"/>
      <c r="D732" s="1"/>
      <c r="E732" s="1"/>
      <c r="F732" s="1"/>
      <c r="G732" s="1"/>
      <c r="H732" s="2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2:33" ht="13.2" x14ac:dyDescent="0.25">
      <c r="B733" s="1"/>
      <c r="C733" s="1"/>
      <c r="D733" s="1"/>
      <c r="E733" s="1"/>
      <c r="F733" s="1"/>
      <c r="G733" s="1"/>
      <c r="H733" s="2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2:33" ht="13.2" x14ac:dyDescent="0.25">
      <c r="B734" s="1"/>
      <c r="C734" s="1"/>
      <c r="D734" s="1"/>
      <c r="E734" s="1"/>
      <c r="F734" s="1"/>
      <c r="G734" s="1"/>
      <c r="H734" s="2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2:33" ht="13.2" x14ac:dyDescent="0.25">
      <c r="B735" s="1"/>
      <c r="C735" s="1"/>
      <c r="D735" s="1"/>
      <c r="E735" s="1"/>
      <c r="F735" s="1"/>
      <c r="G735" s="1"/>
      <c r="H735" s="2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2:33" ht="13.2" x14ac:dyDescent="0.25">
      <c r="B736" s="1"/>
      <c r="C736" s="1"/>
      <c r="D736" s="1"/>
      <c r="E736" s="1"/>
      <c r="F736" s="1"/>
      <c r="G736" s="1"/>
      <c r="H736" s="2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2:33" ht="13.2" x14ac:dyDescent="0.25">
      <c r="B737" s="1"/>
      <c r="C737" s="1"/>
      <c r="D737" s="1"/>
      <c r="E737" s="1"/>
      <c r="F737" s="1"/>
      <c r="G737" s="1"/>
      <c r="H737" s="2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2:33" ht="13.2" x14ac:dyDescent="0.25">
      <c r="B738" s="1"/>
      <c r="C738" s="1"/>
      <c r="D738" s="1"/>
      <c r="E738" s="1"/>
      <c r="F738" s="1"/>
      <c r="G738" s="1"/>
      <c r="H738" s="2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2:33" ht="13.2" x14ac:dyDescent="0.25">
      <c r="B739" s="1"/>
      <c r="C739" s="1"/>
      <c r="D739" s="1"/>
      <c r="E739" s="1"/>
      <c r="F739" s="1"/>
      <c r="G739" s="1"/>
      <c r="H739" s="2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2:33" ht="13.2" x14ac:dyDescent="0.25">
      <c r="B740" s="1"/>
      <c r="C740" s="1"/>
      <c r="D740" s="1"/>
      <c r="E740" s="1"/>
      <c r="F740" s="1"/>
      <c r="G740" s="1"/>
      <c r="H740" s="2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2:33" ht="13.2" x14ac:dyDescent="0.25">
      <c r="B741" s="1"/>
      <c r="C741" s="1"/>
      <c r="D741" s="1"/>
      <c r="E741" s="1"/>
      <c r="F741" s="1"/>
      <c r="G741" s="1"/>
      <c r="H741" s="2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2:33" ht="13.2" x14ac:dyDescent="0.25">
      <c r="B742" s="1"/>
      <c r="C742" s="1"/>
      <c r="D742" s="1"/>
      <c r="E742" s="1"/>
      <c r="F742" s="1"/>
      <c r="G742" s="1"/>
      <c r="H742" s="2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2:33" ht="13.2" x14ac:dyDescent="0.25">
      <c r="B743" s="1"/>
      <c r="C743" s="1"/>
      <c r="D743" s="1"/>
      <c r="E743" s="1"/>
      <c r="F743" s="1"/>
      <c r="G743" s="1"/>
      <c r="H743" s="2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2:33" ht="13.2" x14ac:dyDescent="0.25">
      <c r="B744" s="1"/>
      <c r="C744" s="1"/>
      <c r="D744" s="1"/>
      <c r="E744" s="1"/>
      <c r="F744" s="1"/>
      <c r="G744" s="1"/>
      <c r="H744" s="2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2:33" ht="13.2" x14ac:dyDescent="0.25">
      <c r="B745" s="1"/>
      <c r="C745" s="1"/>
      <c r="D745" s="1"/>
      <c r="E745" s="1"/>
      <c r="F745" s="1"/>
      <c r="G745" s="1"/>
      <c r="H745" s="2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2:33" ht="13.2" x14ac:dyDescent="0.25">
      <c r="B746" s="1"/>
      <c r="C746" s="1"/>
      <c r="D746" s="1"/>
      <c r="E746" s="1"/>
      <c r="F746" s="1"/>
      <c r="G746" s="1"/>
      <c r="H746" s="2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2:33" ht="13.2" x14ac:dyDescent="0.25">
      <c r="B747" s="1"/>
      <c r="C747" s="1"/>
      <c r="D747" s="1"/>
      <c r="E747" s="1"/>
      <c r="F747" s="1"/>
      <c r="G747" s="1"/>
      <c r="H747" s="2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2:33" ht="13.2" x14ac:dyDescent="0.25">
      <c r="B748" s="1"/>
      <c r="C748" s="1"/>
      <c r="D748" s="1"/>
      <c r="E748" s="1"/>
      <c r="F748" s="1"/>
      <c r="G748" s="1"/>
      <c r="H748" s="2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2:33" ht="13.2" x14ac:dyDescent="0.25">
      <c r="B749" s="1"/>
      <c r="C749" s="1"/>
      <c r="D749" s="1"/>
      <c r="E749" s="1"/>
      <c r="F749" s="1"/>
      <c r="G749" s="1"/>
      <c r="H749" s="2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2:33" ht="13.2" x14ac:dyDescent="0.25">
      <c r="B750" s="1"/>
      <c r="C750" s="1"/>
      <c r="D750" s="1"/>
      <c r="E750" s="1"/>
      <c r="F750" s="1"/>
      <c r="G750" s="1"/>
      <c r="H750" s="2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2:33" ht="13.2" x14ac:dyDescent="0.25">
      <c r="B751" s="1"/>
      <c r="C751" s="1"/>
      <c r="D751" s="1"/>
      <c r="E751" s="1"/>
      <c r="F751" s="1"/>
      <c r="G751" s="1"/>
      <c r="H751" s="2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2:33" ht="13.2" x14ac:dyDescent="0.25">
      <c r="B752" s="1"/>
      <c r="C752" s="1"/>
      <c r="D752" s="1"/>
      <c r="E752" s="1"/>
      <c r="F752" s="1"/>
      <c r="G752" s="1"/>
      <c r="H752" s="2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2:33" ht="13.2" x14ac:dyDescent="0.25">
      <c r="B753" s="1"/>
      <c r="C753" s="1"/>
      <c r="D753" s="1"/>
      <c r="E753" s="1"/>
      <c r="F753" s="1"/>
      <c r="G753" s="1"/>
      <c r="H753" s="2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2:33" ht="13.2" x14ac:dyDescent="0.25">
      <c r="B754" s="1"/>
      <c r="C754" s="1"/>
      <c r="D754" s="1"/>
      <c r="E754" s="1"/>
      <c r="F754" s="1"/>
      <c r="G754" s="1"/>
      <c r="H754" s="2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2:33" ht="13.2" x14ac:dyDescent="0.25">
      <c r="B755" s="1"/>
      <c r="C755" s="1"/>
      <c r="D755" s="1"/>
      <c r="E755" s="1"/>
      <c r="F755" s="1"/>
      <c r="G755" s="1"/>
      <c r="H755" s="2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2:33" ht="13.2" x14ac:dyDescent="0.25">
      <c r="B756" s="1"/>
      <c r="C756" s="1"/>
      <c r="D756" s="1"/>
      <c r="E756" s="1"/>
      <c r="F756" s="1"/>
      <c r="G756" s="1"/>
      <c r="H756" s="2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2:33" ht="13.2" x14ac:dyDescent="0.25">
      <c r="B757" s="1"/>
      <c r="C757" s="1"/>
      <c r="D757" s="1"/>
      <c r="E757" s="1"/>
      <c r="F757" s="1"/>
      <c r="G757" s="1"/>
      <c r="H757" s="2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2:33" ht="13.2" x14ac:dyDescent="0.25">
      <c r="B758" s="1"/>
      <c r="C758" s="1"/>
      <c r="D758" s="1"/>
      <c r="E758" s="1"/>
      <c r="F758" s="1"/>
      <c r="G758" s="1"/>
      <c r="H758" s="2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2:33" ht="13.2" x14ac:dyDescent="0.25">
      <c r="B759" s="1"/>
      <c r="C759" s="1"/>
      <c r="D759" s="1"/>
      <c r="E759" s="1"/>
      <c r="F759" s="1"/>
      <c r="G759" s="1"/>
      <c r="H759" s="2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2:33" ht="13.2" x14ac:dyDescent="0.25">
      <c r="B760" s="1"/>
      <c r="C760" s="1"/>
      <c r="D760" s="1"/>
      <c r="E760" s="1"/>
      <c r="F760" s="1"/>
      <c r="G760" s="1"/>
      <c r="H760" s="2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2:33" ht="13.2" x14ac:dyDescent="0.25">
      <c r="B761" s="1"/>
      <c r="C761" s="1"/>
      <c r="D761" s="1"/>
      <c r="E761" s="1"/>
      <c r="F761" s="1"/>
      <c r="G761" s="1"/>
      <c r="H761" s="2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2:33" ht="13.2" x14ac:dyDescent="0.25">
      <c r="B762" s="1"/>
      <c r="C762" s="1"/>
      <c r="D762" s="1"/>
      <c r="E762" s="1"/>
      <c r="F762" s="1"/>
      <c r="G762" s="1"/>
      <c r="H762" s="2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2:33" ht="13.2" x14ac:dyDescent="0.25">
      <c r="B763" s="1"/>
      <c r="C763" s="1"/>
      <c r="D763" s="1"/>
      <c r="E763" s="1"/>
      <c r="F763" s="1"/>
      <c r="G763" s="1"/>
      <c r="H763" s="2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2:33" ht="13.2" x14ac:dyDescent="0.25">
      <c r="B764" s="1"/>
      <c r="C764" s="1"/>
      <c r="D764" s="1"/>
      <c r="E764" s="1"/>
      <c r="F764" s="1"/>
      <c r="G764" s="1"/>
      <c r="H764" s="2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2:33" ht="13.2" x14ac:dyDescent="0.25">
      <c r="B765" s="1"/>
      <c r="C765" s="1"/>
      <c r="D765" s="1"/>
      <c r="E765" s="1"/>
      <c r="F765" s="1"/>
      <c r="G765" s="1"/>
      <c r="H765" s="2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2:33" ht="13.2" x14ac:dyDescent="0.25">
      <c r="B766" s="1"/>
      <c r="C766" s="1"/>
      <c r="D766" s="1"/>
      <c r="E766" s="1"/>
      <c r="F766" s="1"/>
      <c r="G766" s="1"/>
      <c r="H766" s="2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2:33" ht="13.2" x14ac:dyDescent="0.25">
      <c r="B767" s="1"/>
      <c r="C767" s="1"/>
      <c r="D767" s="1"/>
      <c r="E767" s="1"/>
      <c r="F767" s="1"/>
      <c r="G767" s="1"/>
      <c r="H767" s="2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2:33" ht="13.2" x14ac:dyDescent="0.25">
      <c r="B768" s="1"/>
      <c r="C768" s="1"/>
      <c r="D768" s="1"/>
      <c r="E768" s="1"/>
      <c r="F768" s="1"/>
      <c r="G768" s="1"/>
      <c r="H768" s="2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2:33" ht="13.2" x14ac:dyDescent="0.25">
      <c r="B769" s="1"/>
      <c r="C769" s="1"/>
      <c r="D769" s="1"/>
      <c r="E769" s="1"/>
      <c r="F769" s="1"/>
      <c r="G769" s="1"/>
      <c r="H769" s="2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2:33" ht="13.2" x14ac:dyDescent="0.25">
      <c r="B770" s="1"/>
      <c r="C770" s="1"/>
      <c r="D770" s="1"/>
      <c r="E770" s="1"/>
      <c r="F770" s="1"/>
      <c r="G770" s="1"/>
      <c r="H770" s="2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2:33" ht="13.2" x14ac:dyDescent="0.25">
      <c r="B771" s="1"/>
      <c r="C771" s="1"/>
      <c r="D771" s="1"/>
      <c r="E771" s="1"/>
      <c r="F771" s="1"/>
      <c r="G771" s="1"/>
      <c r="H771" s="2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2:33" ht="13.2" x14ac:dyDescent="0.25">
      <c r="B772" s="1"/>
      <c r="C772" s="1"/>
      <c r="D772" s="1"/>
      <c r="E772" s="1"/>
      <c r="F772" s="1"/>
      <c r="G772" s="1"/>
      <c r="H772" s="2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2:33" ht="13.2" x14ac:dyDescent="0.25">
      <c r="B773" s="1"/>
      <c r="C773" s="1"/>
      <c r="D773" s="1"/>
      <c r="E773" s="1"/>
      <c r="F773" s="1"/>
      <c r="G773" s="1"/>
      <c r="H773" s="2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2:33" ht="13.2" x14ac:dyDescent="0.25">
      <c r="B774" s="1"/>
      <c r="C774" s="1"/>
      <c r="D774" s="1"/>
      <c r="E774" s="1"/>
      <c r="F774" s="1"/>
      <c r="G774" s="1"/>
      <c r="H774" s="2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2:33" ht="13.2" x14ac:dyDescent="0.25">
      <c r="B775" s="1"/>
      <c r="C775" s="1"/>
      <c r="D775" s="1"/>
      <c r="E775" s="1"/>
      <c r="F775" s="1"/>
      <c r="G775" s="1"/>
      <c r="H775" s="2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2:33" ht="13.2" x14ac:dyDescent="0.25">
      <c r="B776" s="1"/>
      <c r="C776" s="1"/>
      <c r="D776" s="1"/>
      <c r="E776" s="1"/>
      <c r="F776" s="1"/>
      <c r="G776" s="1"/>
      <c r="H776" s="2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2:33" ht="13.2" x14ac:dyDescent="0.25">
      <c r="B777" s="1"/>
      <c r="C777" s="1"/>
      <c r="D777" s="1"/>
      <c r="E777" s="1"/>
      <c r="F777" s="1"/>
      <c r="G777" s="1"/>
      <c r="H777" s="2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2:33" ht="13.2" x14ac:dyDescent="0.25">
      <c r="B778" s="1"/>
      <c r="C778" s="1"/>
      <c r="D778" s="1"/>
      <c r="E778" s="1"/>
      <c r="F778" s="1"/>
      <c r="G778" s="1"/>
      <c r="H778" s="2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2:33" ht="13.2" x14ac:dyDescent="0.25">
      <c r="B779" s="1"/>
      <c r="C779" s="1"/>
      <c r="D779" s="1"/>
      <c r="E779" s="1"/>
      <c r="F779" s="1"/>
      <c r="G779" s="1"/>
      <c r="H779" s="2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2:33" ht="13.2" x14ac:dyDescent="0.25">
      <c r="B780" s="1"/>
      <c r="C780" s="1"/>
      <c r="D780" s="1"/>
      <c r="E780" s="1"/>
      <c r="F780" s="1"/>
      <c r="G780" s="1"/>
      <c r="H780" s="2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2:33" ht="13.2" x14ac:dyDescent="0.25">
      <c r="B781" s="1"/>
      <c r="C781" s="1"/>
      <c r="D781" s="1"/>
      <c r="E781" s="1"/>
      <c r="F781" s="1"/>
      <c r="G781" s="1"/>
      <c r="H781" s="2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2:33" ht="13.2" x14ac:dyDescent="0.25">
      <c r="B782" s="1"/>
      <c r="C782" s="1"/>
      <c r="D782" s="1"/>
      <c r="E782" s="1"/>
      <c r="F782" s="1"/>
      <c r="G782" s="1"/>
      <c r="H782" s="2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2:33" ht="13.2" x14ac:dyDescent="0.25">
      <c r="B783" s="1"/>
      <c r="C783" s="1"/>
      <c r="D783" s="1"/>
      <c r="E783" s="1"/>
      <c r="F783" s="1"/>
      <c r="G783" s="1"/>
      <c r="H783" s="2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2:33" ht="13.2" x14ac:dyDescent="0.25">
      <c r="B784" s="1"/>
      <c r="C784" s="1"/>
      <c r="D784" s="1"/>
      <c r="E784" s="1"/>
      <c r="F784" s="1"/>
      <c r="G784" s="1"/>
      <c r="H784" s="2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2:33" ht="13.2" x14ac:dyDescent="0.25">
      <c r="B785" s="1"/>
      <c r="C785" s="1"/>
      <c r="D785" s="1"/>
      <c r="E785" s="1"/>
      <c r="F785" s="1"/>
      <c r="G785" s="1"/>
      <c r="H785" s="2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2:33" ht="13.2" x14ac:dyDescent="0.25">
      <c r="B786" s="1"/>
      <c r="C786" s="1"/>
      <c r="D786" s="1"/>
      <c r="E786" s="1"/>
      <c r="F786" s="1"/>
      <c r="G786" s="1"/>
      <c r="H786" s="2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2:33" ht="13.2" x14ac:dyDescent="0.25">
      <c r="B787" s="1"/>
      <c r="C787" s="1"/>
      <c r="D787" s="1"/>
      <c r="E787" s="1"/>
      <c r="F787" s="1"/>
      <c r="G787" s="1"/>
      <c r="H787" s="2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2:33" ht="13.2" x14ac:dyDescent="0.25">
      <c r="B788" s="1"/>
      <c r="C788" s="1"/>
      <c r="D788" s="1"/>
      <c r="E788" s="1"/>
      <c r="F788" s="1"/>
      <c r="G788" s="1"/>
      <c r="H788" s="2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2:33" ht="13.2" x14ac:dyDescent="0.25">
      <c r="B789" s="1"/>
      <c r="C789" s="1"/>
      <c r="D789" s="1"/>
      <c r="E789" s="1"/>
      <c r="F789" s="1"/>
      <c r="G789" s="1"/>
      <c r="H789" s="2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2:33" ht="13.2" x14ac:dyDescent="0.25">
      <c r="B790" s="1"/>
      <c r="C790" s="1"/>
      <c r="D790" s="1"/>
      <c r="E790" s="1"/>
      <c r="F790" s="1"/>
      <c r="G790" s="1"/>
      <c r="H790" s="2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2:33" ht="13.2" x14ac:dyDescent="0.25">
      <c r="B791" s="1"/>
      <c r="C791" s="1"/>
      <c r="D791" s="1"/>
      <c r="E791" s="1"/>
      <c r="F791" s="1"/>
      <c r="G791" s="1"/>
      <c r="H791" s="2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2:33" ht="13.2" x14ac:dyDescent="0.25">
      <c r="B792" s="1"/>
      <c r="C792" s="1"/>
      <c r="D792" s="1"/>
      <c r="E792" s="1"/>
      <c r="F792" s="1"/>
      <c r="G792" s="1"/>
      <c r="H792" s="2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2:33" ht="13.2" x14ac:dyDescent="0.25">
      <c r="B793" s="1"/>
      <c r="C793" s="1"/>
      <c r="D793" s="1"/>
      <c r="E793" s="1"/>
      <c r="F793" s="1"/>
      <c r="G793" s="1"/>
      <c r="H793" s="2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2:33" ht="13.2" x14ac:dyDescent="0.25">
      <c r="B794" s="1"/>
      <c r="C794" s="1"/>
      <c r="D794" s="1"/>
      <c r="E794" s="1"/>
      <c r="F794" s="1"/>
      <c r="G794" s="1"/>
      <c r="H794" s="2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2:33" ht="13.2" x14ac:dyDescent="0.25">
      <c r="B795" s="1"/>
      <c r="C795" s="1"/>
      <c r="D795" s="1"/>
      <c r="E795" s="1"/>
      <c r="F795" s="1"/>
      <c r="G795" s="1"/>
      <c r="H795" s="2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2:33" ht="13.2" x14ac:dyDescent="0.25">
      <c r="B796" s="1"/>
      <c r="C796" s="1"/>
      <c r="D796" s="1"/>
      <c r="E796" s="1"/>
      <c r="F796" s="1"/>
      <c r="G796" s="1"/>
      <c r="H796" s="2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2:33" ht="13.2" x14ac:dyDescent="0.25">
      <c r="B797" s="1"/>
      <c r="C797" s="1"/>
      <c r="D797" s="1"/>
      <c r="E797" s="1"/>
      <c r="F797" s="1"/>
      <c r="G797" s="1"/>
      <c r="H797" s="2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2:33" ht="13.2" x14ac:dyDescent="0.25">
      <c r="B798" s="1"/>
      <c r="C798" s="1"/>
      <c r="D798" s="1"/>
      <c r="E798" s="1"/>
      <c r="F798" s="1"/>
      <c r="G798" s="1"/>
      <c r="H798" s="2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2:33" ht="13.2" x14ac:dyDescent="0.25">
      <c r="B799" s="1"/>
      <c r="C799" s="1"/>
      <c r="D799" s="1"/>
      <c r="E799" s="1"/>
      <c r="F799" s="1"/>
      <c r="G799" s="1"/>
      <c r="H799" s="2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2:33" ht="13.2" x14ac:dyDescent="0.25">
      <c r="B800" s="1"/>
      <c r="C800" s="1"/>
      <c r="D800" s="1"/>
      <c r="E800" s="1"/>
      <c r="F800" s="1"/>
      <c r="G800" s="1"/>
      <c r="H800" s="2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2:33" ht="13.2" x14ac:dyDescent="0.25">
      <c r="B801" s="1"/>
      <c r="C801" s="1"/>
      <c r="D801" s="1"/>
      <c r="E801" s="1"/>
      <c r="F801" s="1"/>
      <c r="G801" s="1"/>
      <c r="H801" s="2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2:33" ht="13.2" x14ac:dyDescent="0.25">
      <c r="B802" s="1"/>
      <c r="C802" s="1"/>
      <c r="D802" s="1"/>
      <c r="E802" s="1"/>
      <c r="F802" s="1"/>
      <c r="G802" s="1"/>
      <c r="H802" s="2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2:33" ht="13.2" x14ac:dyDescent="0.25">
      <c r="B803" s="1"/>
      <c r="C803" s="1"/>
      <c r="D803" s="1"/>
      <c r="E803" s="1"/>
      <c r="F803" s="1"/>
      <c r="G803" s="1"/>
      <c r="H803" s="2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2:33" ht="13.2" x14ac:dyDescent="0.25">
      <c r="B804" s="1"/>
      <c r="C804" s="1"/>
      <c r="D804" s="1"/>
      <c r="E804" s="1"/>
      <c r="F804" s="1"/>
      <c r="G804" s="1"/>
      <c r="H804" s="2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2:33" ht="13.2" x14ac:dyDescent="0.25">
      <c r="B805" s="1"/>
      <c r="C805" s="1"/>
      <c r="D805" s="1"/>
      <c r="E805" s="1"/>
      <c r="F805" s="1"/>
      <c r="G805" s="1"/>
      <c r="H805" s="2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2:33" ht="13.2" x14ac:dyDescent="0.25">
      <c r="B806" s="1"/>
      <c r="C806" s="1"/>
      <c r="D806" s="1"/>
      <c r="E806" s="1"/>
      <c r="F806" s="1"/>
      <c r="G806" s="1"/>
      <c r="H806" s="2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2:33" ht="13.2" x14ac:dyDescent="0.25">
      <c r="B807" s="1"/>
      <c r="C807" s="1"/>
      <c r="D807" s="1"/>
      <c r="E807" s="1"/>
      <c r="F807" s="1"/>
      <c r="G807" s="1"/>
      <c r="H807" s="2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2:33" ht="13.2" x14ac:dyDescent="0.25">
      <c r="B808" s="1"/>
      <c r="C808" s="1"/>
      <c r="D808" s="1"/>
      <c r="E808" s="1"/>
      <c r="F808" s="1"/>
      <c r="G808" s="1"/>
      <c r="H808" s="2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2:33" ht="13.2" x14ac:dyDescent="0.25">
      <c r="B809" s="1"/>
      <c r="C809" s="1"/>
      <c r="D809" s="1"/>
      <c r="E809" s="1"/>
      <c r="F809" s="1"/>
      <c r="G809" s="1"/>
      <c r="H809" s="2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2:33" ht="13.2" x14ac:dyDescent="0.25">
      <c r="B810" s="1"/>
      <c r="C810" s="1"/>
      <c r="D810" s="1"/>
      <c r="E810" s="1"/>
      <c r="F810" s="1"/>
      <c r="G810" s="1"/>
      <c r="H810" s="2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2:33" ht="13.2" x14ac:dyDescent="0.25">
      <c r="B811" s="1"/>
      <c r="C811" s="1"/>
      <c r="D811" s="1"/>
      <c r="E811" s="1"/>
      <c r="F811" s="1"/>
      <c r="G811" s="1"/>
      <c r="H811" s="2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2:33" ht="13.2" x14ac:dyDescent="0.25">
      <c r="B812" s="1"/>
      <c r="C812" s="1"/>
      <c r="D812" s="1"/>
      <c r="E812" s="1"/>
      <c r="F812" s="1"/>
      <c r="G812" s="1"/>
      <c r="H812" s="2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2:33" ht="13.2" x14ac:dyDescent="0.25">
      <c r="B813" s="1"/>
      <c r="C813" s="1"/>
      <c r="D813" s="1"/>
      <c r="E813" s="1"/>
      <c r="F813" s="1"/>
      <c r="G813" s="1"/>
      <c r="H813" s="2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2:33" ht="13.2" x14ac:dyDescent="0.25">
      <c r="B814" s="1"/>
      <c r="C814" s="1"/>
      <c r="D814" s="1"/>
      <c r="E814" s="1"/>
      <c r="F814" s="1"/>
      <c r="G814" s="1"/>
      <c r="H814" s="2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2:33" ht="13.2" x14ac:dyDescent="0.25">
      <c r="B815" s="1"/>
      <c r="C815" s="1"/>
      <c r="D815" s="1"/>
      <c r="E815" s="1"/>
      <c r="F815" s="1"/>
      <c r="G815" s="1"/>
      <c r="H815" s="2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2:33" ht="13.2" x14ac:dyDescent="0.25">
      <c r="B816" s="1"/>
      <c r="C816" s="1"/>
      <c r="D816" s="1"/>
      <c r="E816" s="1"/>
      <c r="F816" s="1"/>
      <c r="G816" s="1"/>
      <c r="H816" s="2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2:33" ht="13.2" x14ac:dyDescent="0.25">
      <c r="B817" s="1"/>
      <c r="C817" s="1"/>
      <c r="D817" s="1"/>
      <c r="E817" s="1"/>
      <c r="F817" s="1"/>
      <c r="G817" s="1"/>
      <c r="H817" s="2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2:33" ht="13.2" x14ac:dyDescent="0.25">
      <c r="B818" s="1"/>
      <c r="C818" s="1"/>
      <c r="D818" s="1"/>
      <c r="E818" s="1"/>
      <c r="F818" s="1"/>
      <c r="G818" s="1"/>
      <c r="H818" s="2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2:33" ht="13.2" x14ac:dyDescent="0.25">
      <c r="B819" s="1"/>
      <c r="C819" s="1"/>
      <c r="D819" s="1"/>
      <c r="E819" s="1"/>
      <c r="F819" s="1"/>
      <c r="G819" s="1"/>
      <c r="H819" s="2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2:33" ht="13.2" x14ac:dyDescent="0.25">
      <c r="B820" s="1"/>
      <c r="C820" s="1"/>
      <c r="D820" s="1"/>
      <c r="E820" s="1"/>
      <c r="F820" s="1"/>
      <c r="G820" s="1"/>
      <c r="H820" s="2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2:33" ht="13.2" x14ac:dyDescent="0.25">
      <c r="B821" s="1"/>
      <c r="C821" s="1"/>
      <c r="D821" s="1"/>
      <c r="E821" s="1"/>
      <c r="F821" s="1"/>
      <c r="G821" s="1"/>
      <c r="H821" s="2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2:33" ht="13.2" x14ac:dyDescent="0.25">
      <c r="B822" s="1"/>
      <c r="C822" s="1"/>
      <c r="D822" s="1"/>
      <c r="E822" s="1"/>
      <c r="F822" s="1"/>
      <c r="G822" s="1"/>
      <c r="H822" s="2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2:33" ht="13.2" x14ac:dyDescent="0.25">
      <c r="B823" s="1"/>
      <c r="C823" s="1"/>
      <c r="D823" s="1"/>
      <c r="E823" s="1"/>
      <c r="F823" s="1"/>
      <c r="G823" s="1"/>
      <c r="H823" s="2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2:33" ht="13.2" x14ac:dyDescent="0.25">
      <c r="B824" s="1"/>
      <c r="C824" s="1"/>
      <c r="D824" s="1"/>
      <c r="E824" s="1"/>
      <c r="F824" s="1"/>
      <c r="G824" s="1"/>
      <c r="H824" s="2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2:33" ht="13.2" x14ac:dyDescent="0.25">
      <c r="B825" s="1"/>
      <c r="C825" s="1"/>
      <c r="D825" s="1"/>
      <c r="E825" s="1"/>
      <c r="F825" s="1"/>
      <c r="G825" s="1"/>
      <c r="H825" s="2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2:33" ht="13.2" x14ac:dyDescent="0.25">
      <c r="B826" s="1"/>
      <c r="C826" s="1"/>
      <c r="D826" s="1"/>
      <c r="E826" s="1"/>
      <c r="F826" s="1"/>
      <c r="G826" s="1"/>
      <c r="H826" s="2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2:33" ht="13.2" x14ac:dyDescent="0.25">
      <c r="B827" s="1"/>
      <c r="C827" s="1"/>
      <c r="D827" s="1"/>
      <c r="E827" s="1"/>
      <c r="F827" s="1"/>
      <c r="G827" s="1"/>
      <c r="H827" s="2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2:33" ht="13.2" x14ac:dyDescent="0.25">
      <c r="B828" s="1"/>
      <c r="C828" s="1"/>
      <c r="D828" s="1"/>
      <c r="E828" s="1"/>
      <c r="F828" s="1"/>
      <c r="G828" s="1"/>
      <c r="H828" s="2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2:33" ht="13.2" x14ac:dyDescent="0.25">
      <c r="B829" s="1"/>
      <c r="C829" s="1"/>
      <c r="D829" s="1"/>
      <c r="E829" s="1"/>
      <c r="F829" s="1"/>
      <c r="G829" s="1"/>
      <c r="H829" s="2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2:33" ht="13.2" x14ac:dyDescent="0.25">
      <c r="B830" s="1"/>
      <c r="C830" s="1"/>
      <c r="D830" s="1"/>
      <c r="E830" s="1"/>
      <c r="F830" s="1"/>
      <c r="G830" s="1"/>
      <c r="H830" s="2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2:33" ht="13.2" x14ac:dyDescent="0.25">
      <c r="B831" s="1"/>
      <c r="C831" s="1"/>
      <c r="D831" s="1"/>
      <c r="E831" s="1"/>
      <c r="F831" s="1"/>
      <c r="G831" s="1"/>
      <c r="H831" s="2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2:33" ht="13.2" x14ac:dyDescent="0.25">
      <c r="B832" s="1"/>
      <c r="C832" s="1"/>
      <c r="D832" s="1"/>
      <c r="E832" s="1"/>
      <c r="F832" s="1"/>
      <c r="G832" s="1"/>
      <c r="H832" s="2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2:33" ht="13.2" x14ac:dyDescent="0.25">
      <c r="B833" s="1"/>
      <c r="C833" s="1"/>
      <c r="D833" s="1"/>
      <c r="E833" s="1"/>
      <c r="F833" s="1"/>
      <c r="G833" s="1"/>
      <c r="H833" s="2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2:33" ht="13.2" x14ac:dyDescent="0.25">
      <c r="B834" s="1"/>
      <c r="C834" s="1"/>
      <c r="D834" s="1"/>
      <c r="E834" s="1"/>
      <c r="F834" s="1"/>
      <c r="G834" s="1"/>
      <c r="H834" s="2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2:33" ht="13.2" x14ac:dyDescent="0.25">
      <c r="B835" s="1"/>
      <c r="C835" s="1"/>
      <c r="D835" s="1"/>
      <c r="E835" s="1"/>
      <c r="F835" s="1"/>
      <c r="G835" s="1"/>
      <c r="H835" s="2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2:33" ht="13.2" x14ac:dyDescent="0.25">
      <c r="B836" s="1"/>
      <c r="C836" s="1"/>
      <c r="D836" s="1"/>
      <c r="E836" s="1"/>
      <c r="F836" s="1"/>
      <c r="G836" s="1"/>
      <c r="H836" s="2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2:33" ht="13.2" x14ac:dyDescent="0.25">
      <c r="B837" s="1"/>
      <c r="C837" s="1"/>
      <c r="D837" s="1"/>
      <c r="E837" s="1"/>
      <c r="F837" s="1"/>
      <c r="G837" s="1"/>
      <c r="H837" s="2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2:33" ht="13.2" x14ac:dyDescent="0.25">
      <c r="B838" s="1"/>
      <c r="C838" s="1"/>
      <c r="D838" s="1"/>
      <c r="E838" s="1"/>
      <c r="F838" s="1"/>
      <c r="G838" s="1"/>
      <c r="H838" s="2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2:33" ht="13.2" x14ac:dyDescent="0.25">
      <c r="B839" s="1"/>
      <c r="C839" s="1"/>
      <c r="D839" s="1"/>
      <c r="E839" s="1"/>
      <c r="F839" s="1"/>
      <c r="G839" s="1"/>
      <c r="H839" s="2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2:33" ht="13.2" x14ac:dyDescent="0.25">
      <c r="B840" s="1"/>
      <c r="C840" s="1"/>
      <c r="D840" s="1"/>
      <c r="E840" s="1"/>
      <c r="F840" s="1"/>
      <c r="G840" s="1"/>
      <c r="H840" s="2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2:33" ht="13.2" x14ac:dyDescent="0.25">
      <c r="B841" s="1"/>
      <c r="C841" s="1"/>
      <c r="D841" s="1"/>
      <c r="E841" s="1"/>
      <c r="F841" s="1"/>
      <c r="G841" s="1"/>
      <c r="H841" s="2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2:33" ht="13.2" x14ac:dyDescent="0.25">
      <c r="B842" s="1"/>
      <c r="C842" s="1"/>
      <c r="D842" s="1"/>
      <c r="E842" s="1"/>
      <c r="F842" s="1"/>
      <c r="G842" s="1"/>
      <c r="H842" s="2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2:33" ht="13.2" x14ac:dyDescent="0.25">
      <c r="B843" s="1"/>
      <c r="C843" s="1"/>
      <c r="D843" s="1"/>
      <c r="E843" s="1"/>
      <c r="F843" s="1"/>
      <c r="G843" s="1"/>
      <c r="H843" s="2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2:33" ht="13.2" x14ac:dyDescent="0.25">
      <c r="B844" s="1"/>
      <c r="C844" s="1"/>
      <c r="D844" s="1"/>
      <c r="E844" s="1"/>
      <c r="F844" s="1"/>
      <c r="G844" s="1"/>
      <c r="H844" s="2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2:33" ht="13.2" x14ac:dyDescent="0.25">
      <c r="B845" s="1"/>
      <c r="C845" s="1"/>
      <c r="D845" s="1"/>
      <c r="E845" s="1"/>
      <c r="F845" s="1"/>
      <c r="G845" s="1"/>
      <c r="H845" s="2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2:33" ht="13.2" x14ac:dyDescent="0.25">
      <c r="B846" s="1"/>
      <c r="C846" s="1"/>
      <c r="D846" s="1"/>
      <c r="E846" s="1"/>
      <c r="F846" s="1"/>
      <c r="G846" s="1"/>
      <c r="H846" s="2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2:33" ht="13.2" x14ac:dyDescent="0.25">
      <c r="B847" s="1"/>
      <c r="C847" s="1"/>
      <c r="D847" s="1"/>
      <c r="E847" s="1"/>
      <c r="F847" s="1"/>
      <c r="G847" s="1"/>
      <c r="H847" s="2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2:33" ht="13.2" x14ac:dyDescent="0.25">
      <c r="B848" s="1"/>
      <c r="C848" s="1"/>
      <c r="D848" s="1"/>
      <c r="E848" s="1"/>
      <c r="F848" s="1"/>
      <c r="G848" s="1"/>
      <c r="H848" s="2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2:33" ht="13.2" x14ac:dyDescent="0.25">
      <c r="B849" s="1"/>
      <c r="C849" s="1"/>
      <c r="D849" s="1"/>
      <c r="E849" s="1"/>
      <c r="F849" s="1"/>
      <c r="G849" s="1"/>
      <c r="H849" s="2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2:33" ht="13.2" x14ac:dyDescent="0.25">
      <c r="B850" s="1"/>
      <c r="C850" s="1"/>
      <c r="D850" s="1"/>
      <c r="E850" s="1"/>
      <c r="F850" s="1"/>
      <c r="G850" s="1"/>
      <c r="H850" s="2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2:33" ht="13.2" x14ac:dyDescent="0.25">
      <c r="B851" s="1"/>
      <c r="C851" s="1"/>
      <c r="D851" s="1"/>
      <c r="E851" s="1"/>
      <c r="F851" s="1"/>
      <c r="G851" s="1"/>
      <c r="H851" s="2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2:33" ht="13.2" x14ac:dyDescent="0.25">
      <c r="B852" s="1"/>
      <c r="C852" s="1"/>
      <c r="D852" s="1"/>
      <c r="E852" s="1"/>
      <c r="F852" s="1"/>
      <c r="G852" s="1"/>
      <c r="H852" s="2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2:33" ht="13.2" x14ac:dyDescent="0.25">
      <c r="B853" s="1"/>
      <c r="C853" s="1"/>
      <c r="D853" s="1"/>
      <c r="E853" s="1"/>
      <c r="F853" s="1"/>
      <c r="G853" s="1"/>
      <c r="H853" s="2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2:33" ht="13.2" x14ac:dyDescent="0.25">
      <c r="B854" s="1"/>
      <c r="C854" s="1"/>
      <c r="D854" s="1"/>
      <c r="E854" s="1"/>
      <c r="F854" s="1"/>
      <c r="G854" s="1"/>
      <c r="H854" s="2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2:33" ht="13.2" x14ac:dyDescent="0.25">
      <c r="B855" s="1"/>
      <c r="C855" s="1"/>
      <c r="D855" s="1"/>
      <c r="E855" s="1"/>
      <c r="F855" s="1"/>
      <c r="G855" s="1"/>
      <c r="H855" s="2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2:33" ht="13.2" x14ac:dyDescent="0.25">
      <c r="B856" s="1"/>
      <c r="C856" s="1"/>
      <c r="D856" s="1"/>
      <c r="E856" s="1"/>
      <c r="F856" s="1"/>
      <c r="G856" s="1"/>
      <c r="H856" s="2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2:33" ht="13.2" x14ac:dyDescent="0.25">
      <c r="B857" s="1"/>
      <c r="C857" s="1"/>
      <c r="D857" s="1"/>
      <c r="E857" s="1"/>
      <c r="F857" s="1"/>
      <c r="G857" s="1"/>
      <c r="H857" s="2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2:33" ht="13.2" x14ac:dyDescent="0.25">
      <c r="B858" s="1"/>
      <c r="C858" s="1"/>
      <c r="D858" s="1"/>
      <c r="E858" s="1"/>
      <c r="F858" s="1"/>
      <c r="G858" s="1"/>
      <c r="H858" s="2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2:33" ht="13.2" x14ac:dyDescent="0.25">
      <c r="B859" s="1"/>
      <c r="C859" s="1"/>
      <c r="D859" s="1"/>
      <c r="E859" s="1"/>
      <c r="F859" s="1"/>
      <c r="G859" s="1"/>
      <c r="H859" s="2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2:33" ht="13.2" x14ac:dyDescent="0.25">
      <c r="B860" s="1"/>
      <c r="C860" s="1"/>
      <c r="D860" s="1"/>
      <c r="E860" s="1"/>
      <c r="F860" s="1"/>
      <c r="G860" s="1"/>
      <c r="H860" s="2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2:33" ht="13.2" x14ac:dyDescent="0.25">
      <c r="B861" s="1"/>
      <c r="C861" s="1"/>
      <c r="D861" s="1"/>
      <c r="E861" s="1"/>
      <c r="F861" s="1"/>
      <c r="G861" s="1"/>
      <c r="H861" s="2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2:33" ht="13.2" x14ac:dyDescent="0.25">
      <c r="B862" s="1"/>
      <c r="C862" s="1"/>
      <c r="D862" s="1"/>
      <c r="E862" s="1"/>
      <c r="F862" s="1"/>
      <c r="G862" s="1"/>
      <c r="H862" s="2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2:33" ht="13.2" x14ac:dyDescent="0.25">
      <c r="B863" s="1"/>
      <c r="C863" s="1"/>
      <c r="D863" s="1"/>
      <c r="E863" s="1"/>
      <c r="F863" s="1"/>
      <c r="G863" s="1"/>
      <c r="H863" s="2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2:33" ht="13.2" x14ac:dyDescent="0.25">
      <c r="B864" s="1"/>
      <c r="C864" s="1"/>
      <c r="D864" s="1"/>
      <c r="E864" s="1"/>
      <c r="F864" s="1"/>
      <c r="G864" s="1"/>
      <c r="H864" s="2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2:33" ht="13.2" x14ac:dyDescent="0.25">
      <c r="B865" s="1"/>
      <c r="C865" s="1"/>
      <c r="D865" s="1"/>
      <c r="E865" s="1"/>
      <c r="F865" s="1"/>
      <c r="G865" s="1"/>
      <c r="H865" s="2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2:33" ht="13.2" x14ac:dyDescent="0.25">
      <c r="B866" s="1"/>
      <c r="C866" s="1"/>
      <c r="D866" s="1"/>
      <c r="E866" s="1"/>
      <c r="F866" s="1"/>
      <c r="G866" s="1"/>
      <c r="H866" s="2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2:33" ht="13.2" x14ac:dyDescent="0.25">
      <c r="B867" s="1"/>
      <c r="C867" s="1"/>
      <c r="D867" s="1"/>
      <c r="E867" s="1"/>
      <c r="F867" s="1"/>
      <c r="G867" s="1"/>
      <c r="H867" s="2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2:33" ht="13.2" x14ac:dyDescent="0.25">
      <c r="B868" s="1"/>
      <c r="C868" s="1"/>
      <c r="D868" s="1"/>
      <c r="E868" s="1"/>
      <c r="F868" s="1"/>
      <c r="G868" s="1"/>
      <c r="H868" s="2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2:33" ht="13.2" x14ac:dyDescent="0.25">
      <c r="B869" s="1"/>
      <c r="C869" s="1"/>
      <c r="D869" s="1"/>
      <c r="E869" s="1"/>
      <c r="F869" s="1"/>
      <c r="G869" s="1"/>
      <c r="H869" s="2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2:33" ht="13.2" x14ac:dyDescent="0.25">
      <c r="B870" s="1"/>
      <c r="C870" s="1"/>
      <c r="D870" s="1"/>
      <c r="E870" s="1"/>
      <c r="F870" s="1"/>
      <c r="G870" s="1"/>
      <c r="H870" s="2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2:33" ht="13.2" x14ac:dyDescent="0.25">
      <c r="B871" s="1"/>
      <c r="C871" s="1"/>
      <c r="D871" s="1"/>
      <c r="E871" s="1"/>
      <c r="F871" s="1"/>
      <c r="G871" s="1"/>
      <c r="H871" s="2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2:33" ht="13.2" x14ac:dyDescent="0.25">
      <c r="B872" s="1"/>
      <c r="C872" s="1"/>
      <c r="D872" s="1"/>
      <c r="E872" s="1"/>
      <c r="F872" s="1"/>
      <c r="G872" s="1"/>
      <c r="H872" s="2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2:33" ht="13.2" x14ac:dyDescent="0.25">
      <c r="B873" s="1"/>
      <c r="C873" s="1"/>
      <c r="D873" s="1"/>
      <c r="E873" s="1"/>
      <c r="F873" s="1"/>
      <c r="G873" s="1"/>
      <c r="H873" s="2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2:33" ht="13.2" x14ac:dyDescent="0.25">
      <c r="B874" s="1"/>
      <c r="C874" s="1"/>
      <c r="D874" s="1"/>
      <c r="E874" s="1"/>
      <c r="F874" s="1"/>
      <c r="G874" s="1"/>
      <c r="H874" s="2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2:33" ht="13.2" x14ac:dyDescent="0.25">
      <c r="B875" s="1"/>
      <c r="C875" s="1"/>
      <c r="D875" s="1"/>
      <c r="E875" s="1"/>
      <c r="F875" s="1"/>
      <c r="G875" s="1"/>
      <c r="H875" s="2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2:33" ht="13.2" x14ac:dyDescent="0.25">
      <c r="B876" s="1"/>
      <c r="C876" s="1"/>
      <c r="D876" s="1"/>
      <c r="E876" s="1"/>
      <c r="F876" s="1"/>
      <c r="G876" s="1"/>
      <c r="H876" s="2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2:33" ht="13.2" x14ac:dyDescent="0.25">
      <c r="B877" s="1"/>
      <c r="C877" s="1"/>
      <c r="D877" s="1"/>
      <c r="E877" s="1"/>
      <c r="F877" s="1"/>
      <c r="G877" s="1"/>
      <c r="H877" s="2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2:33" ht="13.2" x14ac:dyDescent="0.25">
      <c r="B878" s="1"/>
      <c r="C878" s="1"/>
      <c r="D878" s="1"/>
      <c r="E878" s="1"/>
      <c r="F878" s="1"/>
      <c r="G878" s="1"/>
      <c r="H878" s="2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2:33" ht="13.2" x14ac:dyDescent="0.25">
      <c r="B879" s="1"/>
      <c r="C879" s="1"/>
      <c r="D879" s="1"/>
      <c r="E879" s="1"/>
      <c r="F879" s="1"/>
      <c r="G879" s="1"/>
      <c r="H879" s="2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2:33" ht="13.2" x14ac:dyDescent="0.25">
      <c r="B880" s="1"/>
      <c r="C880" s="1"/>
      <c r="D880" s="1"/>
      <c r="E880" s="1"/>
      <c r="F880" s="1"/>
      <c r="G880" s="1"/>
      <c r="H880" s="2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2:33" ht="13.2" x14ac:dyDescent="0.25">
      <c r="B881" s="1"/>
      <c r="C881" s="1"/>
      <c r="D881" s="1"/>
      <c r="E881" s="1"/>
      <c r="F881" s="1"/>
      <c r="G881" s="1"/>
      <c r="H881" s="2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2:33" ht="13.2" x14ac:dyDescent="0.25">
      <c r="B882" s="1"/>
      <c r="C882" s="1"/>
      <c r="D882" s="1"/>
      <c r="E882" s="1"/>
      <c r="F882" s="1"/>
      <c r="G882" s="1"/>
      <c r="H882" s="2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2:33" ht="13.2" x14ac:dyDescent="0.25">
      <c r="B883" s="1"/>
      <c r="C883" s="1"/>
      <c r="D883" s="1"/>
      <c r="E883" s="1"/>
      <c r="F883" s="1"/>
      <c r="G883" s="1"/>
      <c r="H883" s="2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2:33" ht="13.2" x14ac:dyDescent="0.25">
      <c r="B884" s="1"/>
      <c r="C884" s="1"/>
      <c r="D884" s="1"/>
      <c r="E884" s="1"/>
      <c r="F884" s="1"/>
      <c r="G884" s="1"/>
      <c r="H884" s="2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2:33" ht="13.2" x14ac:dyDescent="0.25">
      <c r="B885" s="1"/>
      <c r="C885" s="1"/>
      <c r="D885" s="1"/>
      <c r="E885" s="1"/>
      <c r="F885" s="1"/>
      <c r="G885" s="1"/>
      <c r="H885" s="2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2:33" ht="13.2" x14ac:dyDescent="0.25">
      <c r="B886" s="1"/>
      <c r="C886" s="1"/>
      <c r="D886" s="1"/>
      <c r="E886" s="1"/>
      <c r="F886" s="1"/>
      <c r="G886" s="1"/>
      <c r="H886" s="2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2:33" ht="13.2" x14ac:dyDescent="0.25">
      <c r="B887" s="1"/>
      <c r="C887" s="1"/>
      <c r="D887" s="1"/>
      <c r="E887" s="1"/>
      <c r="F887" s="1"/>
      <c r="G887" s="1"/>
      <c r="H887" s="2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2:33" ht="13.2" x14ac:dyDescent="0.25">
      <c r="B888" s="1"/>
      <c r="C888" s="1"/>
      <c r="D888" s="1"/>
      <c r="E888" s="1"/>
      <c r="F888" s="1"/>
      <c r="G888" s="1"/>
      <c r="H888" s="2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2:33" ht="13.2" x14ac:dyDescent="0.25">
      <c r="B889" s="1"/>
      <c r="C889" s="1"/>
      <c r="D889" s="1"/>
      <c r="E889" s="1"/>
      <c r="F889" s="1"/>
      <c r="G889" s="1"/>
      <c r="H889" s="2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2:33" ht="13.2" x14ac:dyDescent="0.25">
      <c r="B890" s="1"/>
      <c r="C890" s="1"/>
      <c r="D890" s="1"/>
      <c r="E890" s="1"/>
      <c r="F890" s="1"/>
      <c r="G890" s="1"/>
      <c r="H890" s="2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2:33" ht="13.2" x14ac:dyDescent="0.25">
      <c r="B891" s="1"/>
      <c r="C891" s="1"/>
      <c r="D891" s="1"/>
      <c r="E891" s="1"/>
      <c r="F891" s="1"/>
      <c r="G891" s="1"/>
      <c r="H891" s="2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2:33" ht="13.2" x14ac:dyDescent="0.25">
      <c r="B892" s="1"/>
      <c r="C892" s="1"/>
      <c r="D892" s="1"/>
      <c r="E892" s="1"/>
      <c r="F892" s="1"/>
      <c r="G892" s="1"/>
      <c r="H892" s="2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2:33" ht="13.2" x14ac:dyDescent="0.25">
      <c r="B893" s="1"/>
      <c r="C893" s="1"/>
      <c r="D893" s="1"/>
      <c r="E893" s="1"/>
      <c r="F893" s="1"/>
      <c r="G893" s="1"/>
      <c r="H893" s="2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2:33" ht="13.2" x14ac:dyDescent="0.25">
      <c r="B894" s="1"/>
      <c r="C894" s="1"/>
      <c r="D894" s="1"/>
      <c r="E894" s="1"/>
      <c r="F894" s="1"/>
      <c r="G894" s="1"/>
      <c r="H894" s="2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2:33" ht="13.2" x14ac:dyDescent="0.25">
      <c r="B895" s="1"/>
      <c r="C895" s="1"/>
      <c r="D895" s="1"/>
      <c r="E895" s="1"/>
      <c r="F895" s="1"/>
      <c r="G895" s="1"/>
      <c r="H895" s="2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2:33" ht="13.2" x14ac:dyDescent="0.25">
      <c r="B896" s="1"/>
      <c r="C896" s="1"/>
      <c r="D896" s="1"/>
      <c r="E896" s="1"/>
      <c r="F896" s="1"/>
      <c r="G896" s="1"/>
      <c r="H896" s="2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2:33" ht="13.2" x14ac:dyDescent="0.25">
      <c r="B897" s="1"/>
      <c r="C897" s="1"/>
      <c r="D897" s="1"/>
      <c r="E897" s="1"/>
      <c r="F897" s="1"/>
      <c r="G897" s="1"/>
      <c r="H897" s="2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2:33" ht="13.2" x14ac:dyDescent="0.25">
      <c r="B898" s="1"/>
      <c r="C898" s="1"/>
      <c r="D898" s="1"/>
      <c r="E898" s="1"/>
      <c r="F898" s="1"/>
      <c r="G898" s="1"/>
      <c r="H898" s="2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2:33" ht="13.2" x14ac:dyDescent="0.25">
      <c r="B899" s="1"/>
      <c r="C899" s="1"/>
      <c r="D899" s="1"/>
      <c r="E899" s="1"/>
      <c r="F899" s="1"/>
      <c r="G899" s="1"/>
      <c r="H899" s="2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2:33" ht="13.2" x14ac:dyDescent="0.25">
      <c r="B900" s="1"/>
      <c r="C900" s="1"/>
      <c r="D900" s="1"/>
      <c r="E900" s="1"/>
      <c r="F900" s="1"/>
      <c r="G900" s="1"/>
      <c r="H900" s="2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2:33" ht="13.2" x14ac:dyDescent="0.25">
      <c r="B901" s="1"/>
      <c r="C901" s="1"/>
      <c r="D901" s="1"/>
      <c r="E901" s="1"/>
      <c r="F901" s="1"/>
      <c r="G901" s="1"/>
      <c r="H901" s="2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2:33" ht="13.2" x14ac:dyDescent="0.25">
      <c r="B902" s="1"/>
      <c r="C902" s="1"/>
      <c r="D902" s="1"/>
      <c r="E902" s="1"/>
      <c r="F902" s="1"/>
      <c r="G902" s="1"/>
      <c r="H902" s="2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2:33" ht="13.2" x14ac:dyDescent="0.25">
      <c r="B903" s="1"/>
      <c r="C903" s="1"/>
      <c r="D903" s="1"/>
      <c r="E903" s="1"/>
      <c r="F903" s="1"/>
      <c r="G903" s="1"/>
      <c r="H903" s="2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2:33" ht="13.2" x14ac:dyDescent="0.25">
      <c r="B904" s="1"/>
      <c r="C904" s="1"/>
      <c r="D904" s="1"/>
      <c r="E904" s="1"/>
      <c r="F904" s="1"/>
      <c r="G904" s="1"/>
      <c r="H904" s="2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2:33" ht="13.2" x14ac:dyDescent="0.25">
      <c r="B905" s="1"/>
      <c r="C905" s="1"/>
      <c r="D905" s="1"/>
      <c r="E905" s="1"/>
      <c r="F905" s="1"/>
      <c r="G905" s="1"/>
      <c r="H905" s="2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2:33" ht="13.2" x14ac:dyDescent="0.25">
      <c r="B906" s="1"/>
      <c r="C906" s="1"/>
      <c r="D906" s="1"/>
      <c r="E906" s="1"/>
      <c r="F906" s="1"/>
      <c r="G906" s="1"/>
      <c r="H906" s="2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2:33" ht="13.2" x14ac:dyDescent="0.25">
      <c r="B907" s="1"/>
      <c r="C907" s="1"/>
      <c r="D907" s="1"/>
      <c r="E907" s="1"/>
      <c r="F907" s="1"/>
      <c r="G907" s="1"/>
      <c r="H907" s="2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2:33" ht="13.2" x14ac:dyDescent="0.25">
      <c r="B908" s="1"/>
      <c r="C908" s="1"/>
      <c r="D908" s="1"/>
      <c r="E908" s="1"/>
      <c r="F908" s="1"/>
      <c r="G908" s="1"/>
      <c r="H908" s="2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2:33" ht="13.2" x14ac:dyDescent="0.25">
      <c r="B909" s="1"/>
      <c r="C909" s="1"/>
      <c r="D909" s="1"/>
      <c r="E909" s="1"/>
      <c r="F909" s="1"/>
      <c r="G909" s="1"/>
      <c r="H909" s="2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2:33" ht="13.2" x14ac:dyDescent="0.25">
      <c r="B910" s="1"/>
      <c r="C910" s="1"/>
      <c r="D910" s="1"/>
      <c r="E910" s="1"/>
      <c r="F910" s="1"/>
      <c r="G910" s="1"/>
      <c r="H910" s="2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2:33" ht="13.2" x14ac:dyDescent="0.25">
      <c r="B911" s="1"/>
      <c r="C911" s="1"/>
      <c r="D911" s="1"/>
      <c r="E911" s="1"/>
      <c r="F911" s="1"/>
      <c r="G911" s="1"/>
      <c r="H911" s="2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2:33" ht="13.2" x14ac:dyDescent="0.25">
      <c r="B912" s="1"/>
      <c r="C912" s="1"/>
      <c r="D912" s="1"/>
      <c r="E912" s="1"/>
      <c r="F912" s="1"/>
      <c r="G912" s="1"/>
      <c r="H912" s="2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2:33" ht="13.2" x14ac:dyDescent="0.25">
      <c r="B913" s="1"/>
      <c r="C913" s="1"/>
      <c r="D913" s="1"/>
      <c r="E913" s="1"/>
      <c r="F913" s="1"/>
      <c r="G913" s="1"/>
      <c r="H913" s="2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2:33" ht="13.2" x14ac:dyDescent="0.25">
      <c r="B914" s="1"/>
      <c r="C914" s="1"/>
      <c r="D914" s="1"/>
      <c r="E914" s="1"/>
      <c r="F914" s="1"/>
      <c r="G914" s="1"/>
      <c r="H914" s="2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2:33" ht="13.2" x14ac:dyDescent="0.25">
      <c r="B915" s="1"/>
      <c r="C915" s="1"/>
      <c r="D915" s="1"/>
      <c r="E915" s="1"/>
      <c r="F915" s="1"/>
      <c r="G915" s="1"/>
      <c r="H915" s="2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2:33" ht="13.2" x14ac:dyDescent="0.25">
      <c r="B916" s="1"/>
      <c r="C916" s="1"/>
      <c r="D916" s="1"/>
      <c r="E916" s="1"/>
      <c r="F916" s="1"/>
      <c r="G916" s="1"/>
      <c r="H916" s="2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2:33" ht="13.2" x14ac:dyDescent="0.25">
      <c r="B917" s="1"/>
      <c r="C917" s="1"/>
      <c r="D917" s="1"/>
      <c r="E917" s="1"/>
      <c r="F917" s="1"/>
      <c r="G917" s="1"/>
      <c r="H917" s="2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2:33" ht="13.2" x14ac:dyDescent="0.25">
      <c r="B918" s="1"/>
      <c r="C918" s="1"/>
      <c r="D918" s="1"/>
      <c r="E918" s="1"/>
      <c r="F918" s="1"/>
      <c r="G918" s="1"/>
      <c r="H918" s="2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2:33" ht="13.2" x14ac:dyDescent="0.25">
      <c r="B919" s="1"/>
      <c r="C919" s="1"/>
      <c r="D919" s="1"/>
      <c r="E919" s="1"/>
      <c r="F919" s="1"/>
      <c r="G919" s="1"/>
      <c r="H919" s="2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2:33" ht="13.2" x14ac:dyDescent="0.25">
      <c r="B920" s="1"/>
      <c r="C920" s="1"/>
      <c r="D920" s="1"/>
      <c r="E920" s="1"/>
      <c r="F920" s="1"/>
      <c r="G920" s="1"/>
      <c r="H920" s="2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2:33" ht="13.2" x14ac:dyDescent="0.25">
      <c r="B921" s="1"/>
      <c r="C921" s="1"/>
      <c r="D921" s="1"/>
      <c r="E921" s="1"/>
      <c r="F921" s="1"/>
      <c r="G921" s="1"/>
      <c r="H921" s="2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2:33" ht="13.2" x14ac:dyDescent="0.25">
      <c r="B922" s="1"/>
      <c r="C922" s="1"/>
      <c r="D922" s="1"/>
      <c r="E922" s="1"/>
      <c r="F922" s="1"/>
      <c r="G922" s="1"/>
      <c r="H922" s="2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2:33" ht="13.2" x14ac:dyDescent="0.25">
      <c r="B923" s="1"/>
      <c r="C923" s="1"/>
      <c r="D923" s="1"/>
      <c r="E923" s="1"/>
      <c r="F923" s="1"/>
      <c r="G923" s="1"/>
      <c r="H923" s="2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2:33" ht="13.2" x14ac:dyDescent="0.25">
      <c r="B924" s="1"/>
      <c r="C924" s="1"/>
      <c r="D924" s="1"/>
      <c r="E924" s="1"/>
      <c r="F924" s="1"/>
      <c r="G924" s="1"/>
      <c r="H924" s="2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2:33" ht="13.2" x14ac:dyDescent="0.25">
      <c r="B925" s="1"/>
      <c r="C925" s="1"/>
      <c r="D925" s="1"/>
      <c r="E925" s="1"/>
      <c r="F925" s="1"/>
      <c r="G925" s="1"/>
      <c r="H925" s="2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2:33" ht="13.2" x14ac:dyDescent="0.25">
      <c r="B926" s="1"/>
      <c r="C926" s="1"/>
      <c r="D926" s="1"/>
      <c r="E926" s="1"/>
      <c r="F926" s="1"/>
      <c r="G926" s="1"/>
      <c r="H926" s="2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2:33" ht="13.2" x14ac:dyDescent="0.25">
      <c r="B927" s="1"/>
      <c r="C927" s="1"/>
      <c r="D927" s="1"/>
      <c r="E927" s="1"/>
      <c r="F927" s="1"/>
      <c r="G927" s="1"/>
      <c r="H927" s="2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2:33" ht="13.2" x14ac:dyDescent="0.25">
      <c r="B928" s="1"/>
      <c r="C928" s="1"/>
      <c r="D928" s="1"/>
      <c r="E928" s="1"/>
      <c r="F928" s="1"/>
      <c r="G928" s="1"/>
      <c r="H928" s="2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2:33" ht="13.2" x14ac:dyDescent="0.25">
      <c r="B929" s="1"/>
      <c r="C929" s="1"/>
      <c r="D929" s="1"/>
      <c r="E929" s="1"/>
      <c r="F929" s="1"/>
      <c r="G929" s="1"/>
      <c r="H929" s="2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2:33" ht="13.2" x14ac:dyDescent="0.25">
      <c r="B930" s="1"/>
      <c r="C930" s="1"/>
      <c r="D930" s="1"/>
      <c r="E930" s="1"/>
      <c r="F930" s="1"/>
      <c r="G930" s="1"/>
      <c r="H930" s="2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2:33" ht="13.2" x14ac:dyDescent="0.25">
      <c r="B931" s="1"/>
      <c r="C931" s="1"/>
      <c r="D931" s="1"/>
      <c r="E931" s="1"/>
      <c r="F931" s="1"/>
      <c r="G931" s="1"/>
      <c r="H931" s="2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2:33" ht="13.2" x14ac:dyDescent="0.25">
      <c r="B932" s="1"/>
      <c r="C932" s="1"/>
      <c r="D932" s="1"/>
      <c r="E932" s="1"/>
      <c r="F932" s="1"/>
      <c r="G932" s="1"/>
      <c r="H932" s="2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2:33" ht="13.2" x14ac:dyDescent="0.25">
      <c r="B933" s="1"/>
      <c r="C933" s="1"/>
      <c r="D933" s="1"/>
      <c r="E933" s="1"/>
      <c r="F933" s="1"/>
      <c r="G933" s="1"/>
      <c r="H933" s="2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2:33" ht="13.2" x14ac:dyDescent="0.25">
      <c r="B934" s="1"/>
      <c r="C934" s="1"/>
      <c r="D934" s="1"/>
      <c r="E934" s="1"/>
      <c r="F934" s="1"/>
      <c r="G934" s="1"/>
      <c r="H934" s="2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2:33" ht="13.2" x14ac:dyDescent="0.25">
      <c r="B935" s="1"/>
      <c r="C935" s="1"/>
      <c r="D935" s="1"/>
      <c r="E935" s="1"/>
      <c r="F935" s="1"/>
      <c r="G935" s="1"/>
      <c r="H935" s="2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2:33" ht="13.2" x14ac:dyDescent="0.25">
      <c r="B936" s="1"/>
      <c r="C936" s="1"/>
      <c r="D936" s="1"/>
      <c r="E936" s="1"/>
      <c r="F936" s="1"/>
      <c r="G936" s="1"/>
      <c r="H936" s="2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2:33" ht="13.2" x14ac:dyDescent="0.25">
      <c r="B937" s="1"/>
      <c r="C937" s="1"/>
      <c r="D937" s="1"/>
      <c r="E937" s="1"/>
      <c r="F937" s="1"/>
      <c r="G937" s="1"/>
      <c r="H937" s="2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2:33" ht="13.2" x14ac:dyDescent="0.25">
      <c r="B938" s="1"/>
      <c r="C938" s="1"/>
      <c r="D938" s="1"/>
      <c r="E938" s="1"/>
      <c r="F938" s="1"/>
      <c r="G938" s="1"/>
      <c r="H938" s="2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2:33" ht="13.2" x14ac:dyDescent="0.25">
      <c r="B939" s="1"/>
      <c r="C939" s="1"/>
      <c r="D939" s="1"/>
      <c r="E939" s="1"/>
      <c r="F939" s="1"/>
      <c r="G939" s="1"/>
      <c r="H939" s="2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2:33" ht="13.2" x14ac:dyDescent="0.25">
      <c r="B940" s="1"/>
      <c r="C940" s="1"/>
      <c r="D940" s="1"/>
      <c r="E940" s="1"/>
      <c r="F940" s="1"/>
      <c r="G940" s="1"/>
      <c r="H940" s="2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2:33" ht="13.2" x14ac:dyDescent="0.25">
      <c r="B941" s="1"/>
      <c r="C941" s="1"/>
      <c r="D941" s="1"/>
      <c r="E941" s="1"/>
      <c r="F941" s="1"/>
      <c r="G941" s="1"/>
      <c r="H941" s="2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2:33" ht="13.2" x14ac:dyDescent="0.25">
      <c r="B942" s="1"/>
      <c r="C942" s="1"/>
      <c r="D942" s="1"/>
      <c r="E942" s="1"/>
      <c r="F942" s="1"/>
      <c r="G942" s="1"/>
      <c r="H942" s="2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2:33" ht="13.2" x14ac:dyDescent="0.25">
      <c r="B943" s="1"/>
      <c r="C943" s="1"/>
      <c r="D943" s="1"/>
      <c r="E943" s="1"/>
      <c r="F943" s="1"/>
      <c r="G943" s="1"/>
      <c r="H943" s="2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2:33" ht="13.2" x14ac:dyDescent="0.25">
      <c r="B944" s="1"/>
      <c r="C944" s="1"/>
      <c r="D944" s="1"/>
      <c r="E944" s="1"/>
      <c r="F944" s="1"/>
      <c r="G944" s="1"/>
      <c r="H944" s="2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2:33" ht="13.2" x14ac:dyDescent="0.25">
      <c r="B945" s="1"/>
      <c r="C945" s="1"/>
      <c r="D945" s="1"/>
      <c r="E945" s="1"/>
      <c r="F945" s="1"/>
      <c r="G945" s="1"/>
      <c r="H945" s="2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2:33" ht="13.2" x14ac:dyDescent="0.25">
      <c r="B946" s="1"/>
      <c r="C946" s="1"/>
      <c r="D946" s="1"/>
      <c r="E946" s="1"/>
      <c r="F946" s="1"/>
      <c r="G946" s="1"/>
      <c r="H946" s="2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2:33" ht="13.2" x14ac:dyDescent="0.25">
      <c r="B947" s="1"/>
      <c r="C947" s="1"/>
      <c r="D947" s="1"/>
      <c r="E947" s="1"/>
      <c r="F947" s="1"/>
      <c r="G947" s="1"/>
      <c r="H947" s="2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2:33" ht="13.2" x14ac:dyDescent="0.25">
      <c r="B948" s="1"/>
      <c r="C948" s="1"/>
      <c r="D948" s="1"/>
      <c r="E948" s="1"/>
      <c r="F948" s="1"/>
      <c r="G948" s="1"/>
      <c r="H948" s="2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2:33" ht="13.2" x14ac:dyDescent="0.25">
      <c r="B949" s="1"/>
      <c r="C949" s="1"/>
      <c r="D949" s="1"/>
      <c r="E949" s="1"/>
      <c r="F949" s="1"/>
      <c r="G949" s="1"/>
      <c r="H949" s="2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2:33" ht="13.2" x14ac:dyDescent="0.25">
      <c r="B950" s="1"/>
      <c r="C950" s="1"/>
      <c r="D950" s="1"/>
      <c r="E950" s="1"/>
      <c r="F950" s="1"/>
      <c r="G950" s="1"/>
      <c r="H950" s="2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2:33" ht="13.2" x14ac:dyDescent="0.25">
      <c r="B951" s="1"/>
      <c r="C951" s="1"/>
      <c r="D951" s="1"/>
      <c r="E951" s="1"/>
      <c r="F951" s="1"/>
      <c r="G951" s="1"/>
      <c r="H951" s="2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2:33" ht="13.2" x14ac:dyDescent="0.25">
      <c r="B952" s="1"/>
      <c r="C952" s="1"/>
      <c r="D952" s="1"/>
      <c r="E952" s="1"/>
      <c r="F952" s="1"/>
      <c r="G952" s="1"/>
      <c r="H952" s="2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2:33" ht="13.2" x14ac:dyDescent="0.25">
      <c r="B953" s="1"/>
      <c r="C953" s="1"/>
      <c r="D953" s="1"/>
      <c r="E953" s="1"/>
      <c r="F953" s="1"/>
      <c r="G953" s="1"/>
      <c r="H953" s="2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2:33" ht="13.2" x14ac:dyDescent="0.25">
      <c r="B954" s="1"/>
      <c r="C954" s="1"/>
      <c r="D954" s="1"/>
      <c r="E954" s="1"/>
      <c r="F954" s="1"/>
      <c r="G954" s="1"/>
      <c r="H954" s="2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2:33" ht="13.2" x14ac:dyDescent="0.25">
      <c r="B955" s="1"/>
      <c r="C955" s="1"/>
      <c r="D955" s="1"/>
      <c r="E955" s="1"/>
      <c r="F955" s="1"/>
      <c r="G955" s="1"/>
      <c r="H955" s="2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2:33" ht="13.2" x14ac:dyDescent="0.25">
      <c r="B956" s="1"/>
      <c r="C956" s="1"/>
      <c r="D956" s="1"/>
      <c r="E956" s="1"/>
      <c r="F956" s="1"/>
      <c r="G956" s="1"/>
      <c r="H956" s="2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2:33" ht="13.2" x14ac:dyDescent="0.25">
      <c r="B957" s="1"/>
      <c r="C957" s="1"/>
      <c r="D957" s="1"/>
      <c r="E957" s="1"/>
      <c r="F957" s="1"/>
      <c r="G957" s="1"/>
      <c r="H957" s="2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2:33" ht="13.2" x14ac:dyDescent="0.25">
      <c r="B958" s="1"/>
      <c r="C958" s="1"/>
      <c r="D958" s="1"/>
      <c r="E958" s="1"/>
      <c r="F958" s="1"/>
      <c r="G958" s="1"/>
      <c r="H958" s="2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2:33" ht="13.2" x14ac:dyDescent="0.25">
      <c r="B959" s="1"/>
      <c r="C959" s="1"/>
      <c r="D959" s="1"/>
      <c r="E959" s="1"/>
      <c r="F959" s="1"/>
      <c r="G959" s="1"/>
      <c r="H959" s="2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2:33" ht="13.2" x14ac:dyDescent="0.25">
      <c r="B960" s="1"/>
      <c r="C960" s="1"/>
      <c r="D960" s="1"/>
      <c r="E960" s="1"/>
      <c r="F960" s="1"/>
      <c r="G960" s="1"/>
      <c r="H960" s="2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2:33" ht="13.2" x14ac:dyDescent="0.25">
      <c r="B961" s="1"/>
      <c r="C961" s="1"/>
      <c r="D961" s="1"/>
      <c r="E961" s="1"/>
      <c r="F961" s="1"/>
      <c r="G961" s="1"/>
      <c r="H961" s="2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2:33" ht="13.2" x14ac:dyDescent="0.25">
      <c r="B962" s="1"/>
      <c r="C962" s="1"/>
      <c r="D962" s="1"/>
      <c r="E962" s="1"/>
      <c r="F962" s="1"/>
      <c r="G962" s="1"/>
      <c r="H962" s="2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2:33" ht="13.2" x14ac:dyDescent="0.25">
      <c r="B963" s="1"/>
      <c r="C963" s="1"/>
      <c r="D963" s="1"/>
      <c r="E963" s="1"/>
      <c r="F963" s="1"/>
      <c r="G963" s="1"/>
      <c r="H963" s="2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2:33" ht="13.2" x14ac:dyDescent="0.25">
      <c r="B964" s="1"/>
      <c r="C964" s="1"/>
      <c r="D964" s="1"/>
      <c r="E964" s="1"/>
      <c r="F964" s="1"/>
      <c r="G964" s="1"/>
      <c r="H964" s="2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2:33" ht="13.2" x14ac:dyDescent="0.25">
      <c r="B965" s="1"/>
      <c r="C965" s="1"/>
      <c r="D965" s="1"/>
      <c r="E965" s="1"/>
      <c r="F965" s="1"/>
      <c r="G965" s="1"/>
      <c r="H965" s="2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2:33" ht="13.2" x14ac:dyDescent="0.25">
      <c r="B966" s="1"/>
      <c r="C966" s="1"/>
      <c r="D966" s="1"/>
      <c r="E966" s="1"/>
      <c r="F966" s="1"/>
      <c r="G966" s="1"/>
      <c r="H966" s="2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2:33" ht="13.2" x14ac:dyDescent="0.25">
      <c r="B967" s="1"/>
      <c r="C967" s="1"/>
      <c r="D967" s="1"/>
      <c r="E967" s="1"/>
      <c r="F967" s="1"/>
      <c r="G967" s="1"/>
      <c r="H967" s="2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2:33" ht="13.2" x14ac:dyDescent="0.25">
      <c r="B968" s="1"/>
      <c r="C968" s="1"/>
      <c r="D968" s="1"/>
      <c r="E968" s="1"/>
      <c r="F968" s="1"/>
      <c r="G968" s="1"/>
      <c r="H968" s="2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2:33" ht="13.2" x14ac:dyDescent="0.25">
      <c r="B969" s="1"/>
      <c r="C969" s="1"/>
      <c r="D969" s="1"/>
      <c r="E969" s="1"/>
      <c r="F969" s="1"/>
      <c r="G969" s="1"/>
      <c r="H969" s="2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2:33" ht="13.2" x14ac:dyDescent="0.25">
      <c r="B970" s="1"/>
      <c r="C970" s="1"/>
      <c r="D970" s="1"/>
      <c r="E970" s="1"/>
      <c r="F970" s="1"/>
      <c r="G970" s="1"/>
      <c r="H970" s="2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2:33" ht="13.2" x14ac:dyDescent="0.25">
      <c r="B971" s="1"/>
      <c r="C971" s="1"/>
      <c r="D971" s="1"/>
      <c r="E971" s="1"/>
      <c r="F971" s="1"/>
      <c r="G971" s="1"/>
      <c r="H971" s="2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2:33" ht="13.2" x14ac:dyDescent="0.25">
      <c r="B972" s="1"/>
      <c r="C972" s="1"/>
      <c r="D972" s="1"/>
      <c r="E972" s="1"/>
      <c r="F972" s="1"/>
      <c r="G972" s="1"/>
      <c r="H972" s="2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2:33" ht="13.2" x14ac:dyDescent="0.25">
      <c r="B973" s="1"/>
      <c r="C973" s="1"/>
      <c r="D973" s="1"/>
      <c r="E973" s="1"/>
      <c r="F973" s="1"/>
      <c r="G973" s="1"/>
      <c r="H973" s="2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2:33" ht="13.2" x14ac:dyDescent="0.25">
      <c r="B974" s="1"/>
      <c r="C974" s="1"/>
      <c r="D974" s="1"/>
      <c r="E974" s="1"/>
      <c r="F974" s="1"/>
      <c r="G974" s="1"/>
      <c r="H974" s="2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2:33" ht="13.2" x14ac:dyDescent="0.25">
      <c r="B975" s="1"/>
      <c r="C975" s="1"/>
      <c r="D975" s="1"/>
      <c r="E975" s="1"/>
      <c r="F975" s="1"/>
      <c r="G975" s="1"/>
      <c r="H975" s="2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2:33" ht="13.2" x14ac:dyDescent="0.25">
      <c r="B976" s="1"/>
      <c r="C976" s="1"/>
      <c r="D976" s="1"/>
      <c r="E976" s="1"/>
      <c r="F976" s="1"/>
      <c r="G976" s="1"/>
      <c r="H976" s="2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2:33" ht="13.2" x14ac:dyDescent="0.25">
      <c r="B977" s="1"/>
      <c r="C977" s="1"/>
      <c r="D977" s="1"/>
      <c r="E977" s="1"/>
      <c r="F977" s="1"/>
      <c r="G977" s="1"/>
      <c r="H977" s="2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2:33" ht="13.2" x14ac:dyDescent="0.25">
      <c r="B978" s="1"/>
      <c r="C978" s="1"/>
      <c r="D978" s="1"/>
      <c r="E978" s="1"/>
      <c r="F978" s="1"/>
      <c r="G978" s="1"/>
      <c r="H978" s="2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2:33" ht="13.2" x14ac:dyDescent="0.25">
      <c r="B979" s="1"/>
      <c r="C979" s="1"/>
      <c r="D979" s="1"/>
      <c r="E979" s="1"/>
      <c r="F979" s="1"/>
      <c r="G979" s="1"/>
      <c r="H979" s="2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2:33" ht="13.2" x14ac:dyDescent="0.25">
      <c r="B980" s="1"/>
      <c r="C980" s="1"/>
      <c r="D980" s="1"/>
      <c r="E980" s="1"/>
      <c r="F980" s="1"/>
      <c r="G980" s="1"/>
      <c r="H980" s="2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2:33" ht="13.2" x14ac:dyDescent="0.25">
      <c r="B981" s="1"/>
      <c r="C981" s="1"/>
      <c r="D981" s="1"/>
      <c r="E981" s="1"/>
      <c r="F981" s="1"/>
      <c r="G981" s="1"/>
      <c r="H981" s="2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2:33" ht="13.2" x14ac:dyDescent="0.25">
      <c r="B982" s="1"/>
      <c r="C982" s="1"/>
      <c r="D982" s="1"/>
      <c r="E982" s="1"/>
      <c r="F982" s="1"/>
      <c r="G982" s="1"/>
      <c r="H982" s="2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2:33" ht="13.2" x14ac:dyDescent="0.25">
      <c r="B983" s="1"/>
      <c r="C983" s="1"/>
      <c r="D983" s="1"/>
      <c r="E983" s="1"/>
      <c r="F983" s="1"/>
      <c r="G983" s="1"/>
      <c r="H983" s="2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2:33" ht="13.2" x14ac:dyDescent="0.25">
      <c r="B984" s="1"/>
      <c r="C984" s="1"/>
      <c r="D984" s="1"/>
      <c r="E984" s="1"/>
      <c r="F984" s="1"/>
      <c r="G984" s="1"/>
      <c r="H984" s="2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2:33" ht="13.2" x14ac:dyDescent="0.25">
      <c r="B985" s="1"/>
      <c r="C985" s="1"/>
      <c r="D985" s="1"/>
      <c r="E985" s="1"/>
      <c r="F985" s="1"/>
      <c r="G985" s="1"/>
      <c r="H985" s="2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2:33" ht="13.2" x14ac:dyDescent="0.25">
      <c r="B986" s="1"/>
      <c r="C986" s="1"/>
      <c r="D986" s="1"/>
      <c r="E986" s="1"/>
      <c r="F986" s="1"/>
      <c r="G986" s="1"/>
      <c r="H986" s="2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2:33" ht="13.2" x14ac:dyDescent="0.25">
      <c r="B987" s="1"/>
      <c r="C987" s="1"/>
      <c r="D987" s="1"/>
      <c r="E987" s="1"/>
      <c r="F987" s="1"/>
      <c r="G987" s="1"/>
      <c r="H987" s="2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2:33" ht="13.2" x14ac:dyDescent="0.25">
      <c r="B988" s="1"/>
      <c r="C988" s="1"/>
      <c r="D988" s="1"/>
      <c r="E988" s="1"/>
      <c r="F988" s="1"/>
      <c r="G988" s="1"/>
      <c r="H988" s="2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2:33" ht="13.2" x14ac:dyDescent="0.25">
      <c r="B989" s="1"/>
      <c r="C989" s="1"/>
      <c r="D989" s="1"/>
      <c r="E989" s="1"/>
      <c r="F989" s="1"/>
      <c r="G989" s="1"/>
      <c r="H989" s="2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2:33" ht="13.2" x14ac:dyDescent="0.25">
      <c r="B990" s="1"/>
      <c r="C990" s="1"/>
      <c r="D990" s="1"/>
      <c r="E990" s="1"/>
      <c r="F990" s="1"/>
      <c r="G990" s="1"/>
      <c r="H990" s="2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2:33" ht="13.2" x14ac:dyDescent="0.25">
      <c r="B991" s="1"/>
      <c r="C991" s="1"/>
      <c r="D991" s="1"/>
      <c r="E991" s="1"/>
      <c r="F991" s="1"/>
      <c r="G991" s="1"/>
      <c r="H991" s="2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2:33" ht="13.2" x14ac:dyDescent="0.25">
      <c r="B992" s="1"/>
      <c r="C992" s="1"/>
      <c r="D992" s="1"/>
      <c r="E992" s="1"/>
      <c r="F992" s="1"/>
      <c r="G992" s="1"/>
      <c r="H992" s="2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2:33" ht="13.2" x14ac:dyDescent="0.25">
      <c r="B993" s="1"/>
      <c r="C993" s="1"/>
      <c r="D993" s="1"/>
      <c r="E993" s="1"/>
      <c r="F993" s="1"/>
      <c r="G993" s="1"/>
      <c r="H993" s="2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2:33" ht="13.2" x14ac:dyDescent="0.25">
      <c r="B994" s="1"/>
      <c r="C994" s="1"/>
      <c r="D994" s="1"/>
      <c r="E994" s="1"/>
      <c r="F994" s="1"/>
      <c r="G994" s="1"/>
      <c r="H994" s="2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2:33" ht="13.2" x14ac:dyDescent="0.25">
      <c r="B995" s="1"/>
      <c r="C995" s="1"/>
      <c r="D995" s="1"/>
      <c r="E995" s="1"/>
      <c r="F995" s="1"/>
      <c r="G995" s="1"/>
      <c r="H995" s="2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2:33" ht="13.2" x14ac:dyDescent="0.25">
      <c r="B996" s="1"/>
      <c r="C996" s="1"/>
      <c r="D996" s="1"/>
      <c r="E996" s="1"/>
      <c r="F996" s="1"/>
      <c r="G996" s="1"/>
      <c r="H996" s="2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2:33" ht="13.2" x14ac:dyDescent="0.25">
      <c r="B997" s="1"/>
      <c r="C997" s="1"/>
      <c r="D997" s="1"/>
      <c r="E997" s="1"/>
      <c r="F997" s="1"/>
      <c r="G997" s="1"/>
      <c r="H997" s="2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2:33" ht="13.2" x14ac:dyDescent="0.25">
      <c r="B998" s="1"/>
      <c r="C998" s="1"/>
      <c r="D998" s="1"/>
      <c r="E998" s="1"/>
      <c r="F998" s="1"/>
      <c r="G998" s="1"/>
      <c r="H998" s="2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2:33" ht="13.2" x14ac:dyDescent="0.25">
      <c r="B999" s="1"/>
      <c r="C999" s="1"/>
      <c r="D999" s="1"/>
      <c r="E999" s="1"/>
      <c r="F999" s="1"/>
      <c r="G999" s="1"/>
      <c r="H999" s="2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</sheetData>
  <autoFilter ref="G2:H62" xr:uid="{00000000-0001-0000-0400-000000000000}">
    <sortState xmlns:xlrd2="http://schemas.microsoft.com/office/spreadsheetml/2017/richdata2" ref="G3:H62">
      <sortCondition ref="G3:G62"/>
    </sortState>
  </autoFilter>
  <mergeCells count="7">
    <mergeCell ref="Q34:Q43"/>
    <mergeCell ref="Q44:Q53"/>
    <mergeCell ref="R2:S2"/>
    <mergeCell ref="Q3:Q8"/>
    <mergeCell ref="Q9:Q14"/>
    <mergeCell ref="Q16:Q23"/>
    <mergeCell ref="Q24:Q33"/>
  </mergeCells>
  <conditionalFormatting sqref="O3:P5">
    <cfRule type="cellIs" dxfId="49" priority="69" stopIfTrue="1" operator="equal">
      <formula>$E$15</formula>
    </cfRule>
    <cfRule type="cellIs" dxfId="48" priority="70" stopIfTrue="1" operator="equal">
      <formula>$E$16</formula>
    </cfRule>
    <cfRule type="cellIs" dxfId="47" priority="71" stopIfTrue="1" operator="equal">
      <formula>$E$17</formula>
    </cfRule>
  </conditionalFormatting>
  <conditionalFormatting sqref="D3">
    <cfRule type="cellIs" dxfId="46" priority="42" stopIfTrue="1" operator="equal">
      <formula>"Builder"</formula>
    </cfRule>
    <cfRule type="cellIs" dxfId="45" priority="49" stopIfTrue="1" operator="equal">
      <formula>"Agrarian"</formula>
    </cfRule>
    <cfRule type="cellIs" dxfId="44" priority="55" stopIfTrue="1" operator="equal">
      <formula>"Expansionist"</formula>
    </cfRule>
    <cfRule type="cellIs" dxfId="43" priority="60" stopIfTrue="1" operator="equal">
      <formula>"Militarist"</formula>
    </cfRule>
    <cfRule type="cellIs" dxfId="42" priority="64" stopIfTrue="1" operator="equal">
      <formula>"Aesthete"</formula>
    </cfRule>
    <cfRule type="cellIs" dxfId="41" priority="67" stopIfTrue="1" operator="equal">
      <formula>"Merchant"</formula>
    </cfRule>
    <cfRule type="cellIs" dxfId="40" priority="68" stopIfTrue="1" operator="equal">
      <formula>"Scientist"</formula>
    </cfRule>
  </conditionalFormatting>
  <conditionalFormatting sqref="D4:D9">
    <cfRule type="cellIs" dxfId="39" priority="21" stopIfTrue="1" operator="equal">
      <formula>"Builder"</formula>
    </cfRule>
    <cfRule type="cellIs" dxfId="38" priority="22" stopIfTrue="1" operator="equal">
      <formula>"Agrarian"</formula>
    </cfRule>
    <cfRule type="cellIs" dxfId="37" priority="23" stopIfTrue="1" operator="equal">
      <formula>"Expansionist"</formula>
    </cfRule>
    <cfRule type="cellIs" dxfId="36" priority="24" stopIfTrue="1" operator="equal">
      <formula>"Militarist"</formula>
    </cfRule>
    <cfRule type="cellIs" dxfId="35" priority="25" stopIfTrue="1" operator="equal">
      <formula>"Aesthete"</formula>
    </cfRule>
    <cfRule type="cellIs" dxfId="34" priority="26" stopIfTrue="1" operator="equal">
      <formula>"Merchant"</formula>
    </cfRule>
    <cfRule type="cellIs" dxfId="33" priority="27" stopIfTrue="1" operator="equal">
      <formula>"Scientist"</formula>
    </cfRule>
  </conditionalFormatting>
  <conditionalFormatting sqref="H3:H62">
    <cfRule type="cellIs" dxfId="32" priority="14" stopIfTrue="1" operator="equal">
      <formula>"Builder"</formula>
    </cfRule>
    <cfRule type="cellIs" dxfId="31" priority="15" stopIfTrue="1" operator="equal">
      <formula>"Agrarian"</formula>
    </cfRule>
    <cfRule type="cellIs" dxfId="30" priority="16" stopIfTrue="1" operator="equal">
      <formula>"Expansionist"</formula>
    </cfRule>
    <cfRule type="cellIs" dxfId="29" priority="17" stopIfTrue="1" operator="equal">
      <formula>"Militarist"</formula>
    </cfRule>
    <cfRule type="cellIs" dxfId="28" priority="18" stopIfTrue="1" operator="equal">
      <formula>"Aesthete"</formula>
    </cfRule>
    <cfRule type="cellIs" dxfId="27" priority="19" stopIfTrue="1" operator="equal">
      <formula>"Merchant"</formula>
    </cfRule>
    <cfRule type="cellIs" dxfId="26" priority="20" stopIfTrue="1" operator="equal">
      <formula>"Scientist"</formula>
    </cfRule>
  </conditionalFormatting>
  <conditionalFormatting sqref="F3">
    <cfRule type="cellIs" dxfId="25" priority="7" stopIfTrue="1" operator="equal">
      <formula>$B$4</formula>
    </cfRule>
    <cfRule type="cellIs" dxfId="24" priority="8" stopIfTrue="1" operator="equal">
      <formula>$B$5</formula>
    </cfRule>
    <cfRule type="cellIs" dxfId="23" priority="9" stopIfTrue="1" operator="equal">
      <formula>$B$6</formula>
    </cfRule>
    <cfRule type="cellIs" dxfId="22" priority="10" stopIfTrue="1" operator="equal">
      <formula>$B$7</formula>
    </cfRule>
    <cfRule type="cellIs" dxfId="21" priority="11" stopIfTrue="1" operator="equal">
      <formula>$B$8</formula>
    </cfRule>
    <cfRule type="cellIs" dxfId="20" priority="12" stopIfTrue="1" operator="equal">
      <formula>$B$9</formula>
    </cfRule>
  </conditionalFormatting>
  <conditionalFormatting sqref="F4:F62">
    <cfRule type="cellIs" dxfId="19" priority="1" stopIfTrue="1" operator="equal">
      <formula>$B$4</formula>
    </cfRule>
    <cfRule type="cellIs" dxfId="18" priority="2" stopIfTrue="1" operator="equal">
      <formula>$B$5</formula>
    </cfRule>
    <cfRule type="cellIs" dxfId="17" priority="3" stopIfTrue="1" operator="equal">
      <formula>$B$6</formula>
    </cfRule>
    <cfRule type="cellIs" dxfId="16" priority="4" stopIfTrue="1" operator="equal">
      <formula>$B$7</formula>
    </cfRule>
    <cfRule type="cellIs" dxfId="15" priority="5" stopIfTrue="1" operator="equal">
      <formula>$B$8</formula>
    </cfRule>
    <cfRule type="cellIs" dxfId="14" priority="6" stopIfTrue="1" operator="equal">
      <formula>$B$9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999"/>
  <sheetViews>
    <sheetView topLeftCell="H1" workbookViewId="0">
      <selection activeCell="O16" sqref="O16"/>
    </sheetView>
  </sheetViews>
  <sheetFormatPr baseColWidth="10" defaultColWidth="14.44140625" defaultRowHeight="15.75" customHeight="1" x14ac:dyDescent="0.25"/>
  <cols>
    <col min="1" max="1" width="20.33203125" customWidth="1"/>
    <col min="2" max="2" width="19.88671875" customWidth="1"/>
    <col min="3" max="3" width="17" customWidth="1"/>
    <col min="4" max="4" width="82.6640625" customWidth="1"/>
    <col min="5" max="5" width="19.33203125" customWidth="1"/>
    <col min="6" max="6" width="20.33203125" customWidth="1"/>
    <col min="7" max="7" width="15.88671875" customWidth="1"/>
    <col min="9" max="13" width="17" customWidth="1"/>
  </cols>
  <sheetData>
    <row r="1" spans="1:25" ht="13.8" thickBot="1" x14ac:dyDescent="0.3">
      <c r="A1" s="2" t="s">
        <v>511</v>
      </c>
      <c r="B1" s="2"/>
      <c r="C1" s="2"/>
      <c r="D1" s="2"/>
      <c r="E1" s="2"/>
      <c r="F1" s="2"/>
      <c r="G1" s="1"/>
      <c r="H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22" customFormat="1" ht="19.95" customHeight="1" x14ac:dyDescent="0.25">
      <c r="A2" s="42" t="s">
        <v>16</v>
      </c>
      <c r="B2" s="42" t="s">
        <v>517</v>
      </c>
      <c r="C2" s="42" t="s">
        <v>0</v>
      </c>
      <c r="D2" s="20" t="s">
        <v>18</v>
      </c>
      <c r="E2" s="20" t="s">
        <v>19</v>
      </c>
      <c r="F2" s="20" t="s">
        <v>20</v>
      </c>
      <c r="G2" s="21"/>
      <c r="H2" s="21"/>
      <c r="I2" s="45" t="s">
        <v>512</v>
      </c>
      <c r="J2" s="46" t="s">
        <v>513</v>
      </c>
      <c r="K2" s="46" t="s">
        <v>514</v>
      </c>
      <c r="L2" s="46" t="s">
        <v>515</v>
      </c>
      <c r="M2" s="47" t="s">
        <v>516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13.2" x14ac:dyDescent="0.25">
      <c r="A3" s="5" t="s">
        <v>1</v>
      </c>
      <c r="B3" s="11" t="s">
        <v>52</v>
      </c>
      <c r="C3" s="89" t="s">
        <v>538</v>
      </c>
      <c r="D3" s="3" t="str">
        <f t="shared" ref="D3:D8" si="0">VLOOKUP(B3, CultureListNameBonus, 2, FALSE)</f>
        <v>Harmonious Thought : +2 Stability on District</v>
      </c>
      <c r="E3" s="3" t="str">
        <f t="shared" ref="E3:E8" si="1">VLOOKUP(B3, CultureListNameBonus, 3, FALSE)</f>
        <v>Confucian School</v>
      </c>
      <c r="F3" s="3" t="str">
        <f t="shared" ref="F3:F8" si="2">VLOOKUP(B3, CultureListNameBonus, 4, FALSE)</f>
        <v>Zhanche</v>
      </c>
      <c r="G3" s="1"/>
      <c r="H3" s="1"/>
      <c r="I3" s="48" t="s">
        <v>37</v>
      </c>
      <c r="J3" s="44" t="s">
        <v>30</v>
      </c>
      <c r="K3" s="44" t="s">
        <v>21</v>
      </c>
      <c r="L3" s="44" t="s">
        <v>30</v>
      </c>
      <c r="M3" s="49" t="s">
        <v>30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3.2" x14ac:dyDescent="0.25">
      <c r="A4" s="6" t="s">
        <v>2</v>
      </c>
      <c r="B4" s="11" t="s">
        <v>88</v>
      </c>
      <c r="C4" s="87" t="s">
        <v>8</v>
      </c>
      <c r="D4" s="3" t="str">
        <f t="shared" si="0"/>
        <v>Tireless Spirit : +2 Industry / Worker on city/Outpost</v>
      </c>
      <c r="E4" s="3" t="str">
        <f t="shared" si="1"/>
        <v>K'uh Nah</v>
      </c>
      <c r="F4" s="3" t="str">
        <f t="shared" si="2"/>
        <v>Noble Javelineers</v>
      </c>
      <c r="G4" s="1"/>
      <c r="H4" s="1"/>
      <c r="I4" s="48" t="s">
        <v>92</v>
      </c>
      <c r="J4" s="44" t="s">
        <v>68</v>
      </c>
      <c r="K4" s="44" t="s">
        <v>68</v>
      </c>
      <c r="L4" s="44" t="s">
        <v>68</v>
      </c>
      <c r="M4" s="49" t="s">
        <v>68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3.2" x14ac:dyDescent="0.25">
      <c r="A5" s="7" t="s">
        <v>3</v>
      </c>
      <c r="B5" s="11" t="s">
        <v>116</v>
      </c>
      <c r="C5" s="87" t="s">
        <v>8</v>
      </c>
      <c r="D5" s="3" t="str">
        <f t="shared" si="0"/>
        <v>Servants of Magnificence : +3 Industry / Makers Quarter</v>
      </c>
      <c r="E5" s="3" t="str">
        <f t="shared" si="1"/>
        <v>Baray</v>
      </c>
      <c r="F5" s="3" t="str">
        <f t="shared" si="2"/>
        <v>Dhanvi-gaja</v>
      </c>
      <c r="G5" s="1"/>
      <c r="H5" s="1"/>
      <c r="I5" s="48" t="s">
        <v>96</v>
      </c>
      <c r="J5" s="44" t="s">
        <v>128</v>
      </c>
      <c r="K5" s="44" t="s">
        <v>104</v>
      </c>
      <c r="L5" s="44" t="s">
        <v>128</v>
      </c>
      <c r="M5" s="49" t="s">
        <v>128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3.2" x14ac:dyDescent="0.25">
      <c r="A6" s="8" t="s">
        <v>4</v>
      </c>
      <c r="B6" s="11" t="s">
        <v>156</v>
      </c>
      <c r="C6" s="87" t="s">
        <v>8</v>
      </c>
      <c r="D6" s="3" t="str">
        <f t="shared" si="0"/>
        <v>Imperial Magnificence : +2% Industry per territories in capital.</v>
      </c>
      <c r="E6" s="3" t="str">
        <f t="shared" si="1"/>
        <v>Jama Masjid</v>
      </c>
      <c r="F6" s="3" t="str">
        <f t="shared" si="2"/>
        <v>Gajnal</v>
      </c>
      <c r="G6" s="1"/>
      <c r="H6" s="1"/>
      <c r="I6" s="48" t="s">
        <v>168</v>
      </c>
      <c r="J6" s="44" t="s">
        <v>140</v>
      </c>
      <c r="K6" s="44" t="s">
        <v>168</v>
      </c>
      <c r="L6" s="44" t="s">
        <v>140</v>
      </c>
      <c r="M6" s="49" t="s">
        <v>140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3.2" x14ac:dyDescent="0.25">
      <c r="A7" s="9" t="s">
        <v>5</v>
      </c>
      <c r="B7" s="11" t="s">
        <v>184</v>
      </c>
      <c r="C7" s="87" t="s">
        <v>13</v>
      </c>
      <c r="D7" s="3" t="str">
        <f t="shared" si="0"/>
        <v>Enlightened Thinking : 10% Science on Cities</v>
      </c>
      <c r="E7" s="3" t="str">
        <f t="shared" si="1"/>
        <v>Exhibition Hall</v>
      </c>
      <c r="F7" s="3" t="str">
        <f t="shared" si="2"/>
        <v>Cuirassiers</v>
      </c>
      <c r="G7" s="1"/>
      <c r="H7" s="1"/>
      <c r="I7" s="48" t="s">
        <v>188</v>
      </c>
      <c r="J7" s="44" t="s">
        <v>176</v>
      </c>
      <c r="K7" s="44" t="s">
        <v>176</v>
      </c>
      <c r="L7" s="44" t="s">
        <v>176</v>
      </c>
      <c r="M7" s="49" t="s">
        <v>176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.8" thickBot="1" x14ac:dyDescent="0.3">
      <c r="A8" s="10" t="s">
        <v>6</v>
      </c>
      <c r="B8" s="11" t="s">
        <v>219</v>
      </c>
      <c r="C8" s="87" t="str">
        <f t="shared" ref="C8" si="3">VLOOKUP(B8, CultureListNameAffinities, 2, FALSE)</f>
        <v>Builder</v>
      </c>
      <c r="D8" s="3" t="str">
        <f t="shared" si="0"/>
        <v>Dream Weavers : +20% industry  / cities</v>
      </c>
      <c r="E8" s="3" t="str">
        <f t="shared" si="1"/>
        <v>Strip Mining Complex</v>
      </c>
      <c r="F8" s="3" t="str">
        <f t="shared" si="2"/>
        <v>All Terrain PMV</v>
      </c>
      <c r="G8" s="1"/>
      <c r="H8" s="1"/>
      <c r="I8" s="50" t="s">
        <v>216</v>
      </c>
      <c r="J8" s="51" t="s">
        <v>250</v>
      </c>
      <c r="K8" s="51" t="s">
        <v>239</v>
      </c>
      <c r="L8" s="51" t="s">
        <v>250</v>
      </c>
      <c r="M8" s="52" t="s">
        <v>250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3.8" thickBot="1" x14ac:dyDescent="0.3">
      <c r="A9" s="2"/>
      <c r="B9" s="2"/>
      <c r="C9" s="2"/>
      <c r="D9" s="2"/>
      <c r="E9" s="2"/>
      <c r="F9" s="2"/>
      <c r="G9" s="2"/>
      <c r="H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9.95" customHeight="1" x14ac:dyDescent="0.25">
      <c r="A10" s="43" t="s">
        <v>17</v>
      </c>
      <c r="B10" s="43" t="s">
        <v>262</v>
      </c>
      <c r="C10" s="43" t="s">
        <v>263</v>
      </c>
      <c r="D10" s="43" t="s">
        <v>264</v>
      </c>
      <c r="E10" s="43" t="s">
        <v>259</v>
      </c>
      <c r="F10" s="43" t="s">
        <v>260</v>
      </c>
      <c r="G10" s="43" t="s">
        <v>261</v>
      </c>
      <c r="H10" s="1"/>
      <c r="I10" s="45" t="s">
        <v>518</v>
      </c>
      <c r="J10" s="46" t="s">
        <v>519</v>
      </c>
      <c r="K10" s="46" t="s">
        <v>520</v>
      </c>
      <c r="L10" s="46" t="s">
        <v>521</v>
      </c>
      <c r="M10" s="47" t="s">
        <v>522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2" x14ac:dyDescent="0.25">
      <c r="A11" s="5" t="str">
        <f t="shared" ref="A11:A16" si="4">VLOOKUP(B3, UnitListCultureName, 2, FALSE)</f>
        <v>Zhanche</v>
      </c>
      <c r="B11" s="5" t="str">
        <f>VLOOKUP(A11, UnitListNameToStats, 5, FALSE)</f>
        <v>Land</v>
      </c>
      <c r="C11" s="5" t="str">
        <f t="shared" ref="C11:C16" si="5">VLOOKUP($A11, UnitListNameToStats, 6, FALSE)</f>
        <v>Heavy Cavalry</v>
      </c>
      <c r="D11" s="5" t="str">
        <f t="shared" ref="D11:D16" si="6">VLOOKUP($A11, UnitListNameToStats, 7, FALSE)</f>
        <v>Mandate of Heaven : +3 Str when Stability is High</v>
      </c>
      <c r="E11" s="5">
        <f t="shared" ref="E11:E16" si="7">VLOOKUP($A11, UnitListNameToStats, 2, FALSE)</f>
        <v>1</v>
      </c>
      <c r="F11" s="5">
        <f t="shared" ref="F11:F16" si="8">VLOOKUP($A11, UnitListNameToStats, 3, FALSE)</f>
        <v>23</v>
      </c>
      <c r="G11" s="5">
        <f t="shared" ref="G11:G16" si="9">VLOOKUP($A11, UnitListNameToStats, 4, FALSE)</f>
        <v>6</v>
      </c>
      <c r="H11" s="1"/>
      <c r="I11" s="48" t="s">
        <v>30</v>
      </c>
      <c r="J11" s="44" t="s">
        <v>30</v>
      </c>
      <c r="K11" s="44" t="s">
        <v>30</v>
      </c>
      <c r="L11" s="44" t="s">
        <v>30</v>
      </c>
      <c r="M11" s="49" t="s">
        <v>30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3.2" x14ac:dyDescent="0.25">
      <c r="A12" s="6" t="str">
        <f t="shared" si="4"/>
        <v>Noble Javelineers</v>
      </c>
      <c r="B12" s="6" t="str">
        <f>VLOOKUP($A12, UnitListNameToStats, 5, FALSE)</f>
        <v>Land</v>
      </c>
      <c r="C12" s="6" t="str">
        <f t="shared" si="5"/>
        <v>Ranged</v>
      </c>
      <c r="D12" s="6" t="str">
        <f t="shared" si="6"/>
        <v>Poison : -2 Move -1 Range on Poisoned Targets</v>
      </c>
      <c r="E12" s="6">
        <f t="shared" si="7"/>
        <v>3</v>
      </c>
      <c r="F12" s="6">
        <f t="shared" si="8"/>
        <v>25</v>
      </c>
      <c r="G12" s="6">
        <f t="shared" si="9"/>
        <v>4</v>
      </c>
      <c r="H12" s="1"/>
      <c r="I12" s="48" t="s">
        <v>68</v>
      </c>
      <c r="J12" s="44" t="s">
        <v>68</v>
      </c>
      <c r="K12" s="44" t="s">
        <v>68</v>
      </c>
      <c r="L12" s="44" t="s">
        <v>68</v>
      </c>
      <c r="M12" s="49" t="s">
        <v>68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3.2" x14ac:dyDescent="0.25">
      <c r="A13" s="7" t="str">
        <f t="shared" si="4"/>
        <v>Dhanvi-gaja</v>
      </c>
      <c r="B13" s="7" t="str">
        <f>VLOOKUP($A13, UnitListNameToStats, 5, FALSE)</f>
        <v>Land</v>
      </c>
      <c r="C13" s="7" t="str">
        <f t="shared" si="5"/>
        <v>Ranged</v>
      </c>
      <c r="D13" s="7" t="str">
        <f t="shared" si="6"/>
        <v>Move and Fire : Can Attack then Full Move</v>
      </c>
      <c r="E13" s="7">
        <f t="shared" si="7"/>
        <v>3</v>
      </c>
      <c r="F13" s="7">
        <f t="shared" si="8"/>
        <v>42</v>
      </c>
      <c r="G13" s="7">
        <f t="shared" si="9"/>
        <v>6</v>
      </c>
      <c r="H13" s="1"/>
      <c r="I13" s="48" t="s">
        <v>128</v>
      </c>
      <c r="J13" s="44" t="s">
        <v>128</v>
      </c>
      <c r="K13" s="44" t="s">
        <v>128</v>
      </c>
      <c r="L13" s="44" t="s">
        <v>128</v>
      </c>
      <c r="M13" s="49" t="s">
        <v>128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3.2" x14ac:dyDescent="0.25">
      <c r="A14" s="8" t="str">
        <f t="shared" si="4"/>
        <v>Gajnal</v>
      </c>
      <c r="B14" s="8" t="str">
        <f>VLOOKUP($A14, UnitListNameToStats, 5, FALSE)</f>
        <v>Land</v>
      </c>
      <c r="C14" s="8" t="str">
        <f t="shared" si="5"/>
        <v>Gunner</v>
      </c>
      <c r="D14" s="8" t="str">
        <f t="shared" si="6"/>
        <v>Move and Fire : Can Attack then Full Move</v>
      </c>
      <c r="E14" s="8">
        <f t="shared" si="7"/>
        <v>4</v>
      </c>
      <c r="F14" s="8">
        <f t="shared" si="8"/>
        <v>49</v>
      </c>
      <c r="G14" s="8">
        <f t="shared" si="9"/>
        <v>6</v>
      </c>
      <c r="H14" s="1"/>
      <c r="I14" s="48" t="s">
        <v>140</v>
      </c>
      <c r="J14" s="44" t="s">
        <v>140</v>
      </c>
      <c r="K14" s="44" t="s">
        <v>140</v>
      </c>
      <c r="L14" s="44" t="s">
        <v>140</v>
      </c>
      <c r="M14" s="49" t="s">
        <v>140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2" x14ac:dyDescent="0.25">
      <c r="A15" s="9" t="str">
        <f t="shared" si="4"/>
        <v>Cuirassiers</v>
      </c>
      <c r="B15" s="9" t="str">
        <f>VLOOKUP($A15, UnitListNameToStats, 5, FALSE)</f>
        <v>Land</v>
      </c>
      <c r="C15" s="9" t="str">
        <f t="shared" si="5"/>
        <v>Heavy Cavalry</v>
      </c>
      <c r="D15" s="9" t="str">
        <f t="shared" si="6"/>
        <v>Heavier Charge : x3 STR (+9) when Charging</v>
      </c>
      <c r="E15" s="9">
        <f t="shared" si="7"/>
        <v>1</v>
      </c>
      <c r="F15" s="9">
        <f t="shared" si="8"/>
        <v>54</v>
      </c>
      <c r="G15" s="9">
        <f t="shared" si="9"/>
        <v>6</v>
      </c>
      <c r="H15" s="1"/>
      <c r="I15" s="48" t="s">
        <v>176</v>
      </c>
      <c r="J15" s="44" t="s">
        <v>176</v>
      </c>
      <c r="K15" s="44" t="s">
        <v>176</v>
      </c>
      <c r="L15" s="44" t="s">
        <v>176</v>
      </c>
      <c r="M15" s="49" t="s">
        <v>176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3.8" thickBot="1" x14ac:dyDescent="0.3">
      <c r="A16" s="10" t="str">
        <f t="shared" si="4"/>
        <v>All Terrain PMV</v>
      </c>
      <c r="B16" s="10" t="str">
        <f>VLOOKUP($A16, UnitListNameToStats, 5, FALSE)</f>
        <v>Land</v>
      </c>
      <c r="C16" s="10" t="str">
        <f t="shared" si="5"/>
        <v>Armoured Vehicle</v>
      </c>
      <c r="D16" s="10" t="str">
        <f t="shared" si="6"/>
        <v>All-Terrain : Ignores Terrain Movement Penalties</v>
      </c>
      <c r="E16" s="10">
        <f t="shared" si="7"/>
        <v>4</v>
      </c>
      <c r="F16" s="10">
        <f t="shared" si="8"/>
        <v>64</v>
      </c>
      <c r="G16" s="10">
        <f t="shared" si="9"/>
        <v>8</v>
      </c>
      <c r="H16" s="1"/>
      <c r="I16" s="50" t="s">
        <v>250</v>
      </c>
      <c r="J16" s="51" t="s">
        <v>250</v>
      </c>
      <c r="K16" s="51" t="s">
        <v>250</v>
      </c>
      <c r="L16" s="51" t="s">
        <v>250</v>
      </c>
      <c r="M16" s="52" t="s">
        <v>250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3.2" x14ac:dyDescent="0.25">
      <c r="A17" s="1"/>
      <c r="B17" s="1"/>
      <c r="C17" s="1"/>
      <c r="D17" s="1"/>
      <c r="E17" s="1"/>
      <c r="F17" s="1"/>
      <c r="G17" s="1"/>
      <c r="H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3.2" x14ac:dyDescent="0.25">
      <c r="A18" s="2"/>
      <c r="B18" s="2"/>
      <c r="C18" s="1"/>
      <c r="D18" s="1"/>
      <c r="E18" s="1"/>
      <c r="F18" s="1"/>
      <c r="G18" s="1"/>
      <c r="H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3.2" x14ac:dyDescent="0.25">
      <c r="A19" s="5" t="str">
        <f t="shared" ref="A19:B19" si="10">A3</f>
        <v>1 - Ancient</v>
      </c>
      <c r="B19" s="5" t="str">
        <f t="shared" si="10"/>
        <v>Zhou</v>
      </c>
      <c r="C19" s="3"/>
      <c r="D19" s="3"/>
      <c r="E19" s="3"/>
      <c r="F19" s="3"/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3.2" x14ac:dyDescent="0.25">
      <c r="A20" s="12" t="s">
        <v>17</v>
      </c>
      <c r="B20" s="12" t="s">
        <v>262</v>
      </c>
      <c r="C20" s="12" t="s">
        <v>263</v>
      </c>
      <c r="D20" s="12" t="s">
        <v>264</v>
      </c>
      <c r="E20" s="12" t="s">
        <v>259</v>
      </c>
      <c r="F20" s="12" t="s">
        <v>15</v>
      </c>
      <c r="G20" s="12" t="s">
        <v>261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3.2" x14ac:dyDescent="0.25">
      <c r="A21" s="3" t="str">
        <f>IF((VLOOKUP($A28,UnitListNameToStats,13,FALSE)) = "Archer","Replaced", "Archer")</f>
        <v>Archer</v>
      </c>
      <c r="B21" s="3" t="str">
        <f t="shared" ref="B21:B28" si="11">VLOOKUP(A21, UnitListNameToStats, 5, FALSE)</f>
        <v>Land</v>
      </c>
      <c r="C21" s="3" t="str">
        <f t="shared" ref="C21:C28" si="12">VLOOKUP($A21, UnitListNameToStats, 6, FALSE)</f>
        <v>Ranged</v>
      </c>
      <c r="D21" s="3" t="str">
        <f t="shared" ref="D21:D28" si="13">VLOOKUP($A21, UnitListNameToStats, 7, FALSE)</f>
        <v>Indirect Fire : Can Shoot w/o LOS</v>
      </c>
      <c r="E21" s="3">
        <f t="shared" ref="E21:E28" si="14">VLOOKUP($A21, UnitListNameToStats, 2, FALSE)</f>
        <v>3</v>
      </c>
      <c r="F21" s="3">
        <f t="shared" ref="F21:F28" si="15">VLOOKUP($A21, UnitListNameToStats, 3, FALSE)</f>
        <v>17</v>
      </c>
      <c r="G21" s="3">
        <f t="shared" ref="G21:G28" si="16">VLOOKUP($A21, UnitListNameToStats, 4, FALSE)</f>
        <v>4</v>
      </c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3.2" x14ac:dyDescent="0.25">
      <c r="A22" s="3" t="str">
        <f>IF((VLOOKUP($A28,UnitListNameToStats,13,FALSE)) = "Chariot","Replaced", "Chariot")</f>
        <v>Replaced</v>
      </c>
      <c r="B22" s="3">
        <f t="shared" si="11"/>
        <v>0</v>
      </c>
      <c r="C22" s="3">
        <f t="shared" si="12"/>
        <v>0</v>
      </c>
      <c r="D22" s="3">
        <f t="shared" si="13"/>
        <v>0</v>
      </c>
      <c r="E22" s="3">
        <f t="shared" si="14"/>
        <v>0</v>
      </c>
      <c r="F22" s="3">
        <f t="shared" si="15"/>
        <v>0</v>
      </c>
      <c r="G22" s="3">
        <f t="shared" si="16"/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3.2" x14ac:dyDescent="0.25">
      <c r="A23" s="3" t="str">
        <f>IF((VLOOKUP($A28,UnitListNameToStats,13,FALSE)) = "Scout Riders","Replaced", "Scout Riders")</f>
        <v>Scout Riders</v>
      </c>
      <c r="B23" s="3" t="str">
        <f t="shared" si="11"/>
        <v>Land</v>
      </c>
      <c r="C23" s="3" t="str">
        <f t="shared" si="12"/>
        <v>Cavalry</v>
      </c>
      <c r="D23" s="3" t="str">
        <f t="shared" si="13"/>
        <v>N/A</v>
      </c>
      <c r="E23" s="3">
        <f t="shared" si="14"/>
        <v>1</v>
      </c>
      <c r="F23" s="3">
        <f t="shared" si="15"/>
        <v>16</v>
      </c>
      <c r="G23" s="3">
        <f t="shared" si="16"/>
        <v>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3.2" x14ac:dyDescent="0.25">
      <c r="A24" s="3" t="str">
        <f>IF((VLOOKUP($A28,UnitListNameToStats,13,FALSE)) = "Scouts","Replaced", "Scouts")</f>
        <v>Scouts</v>
      </c>
      <c r="B24" s="3" t="str">
        <f t="shared" si="11"/>
        <v>Land</v>
      </c>
      <c r="C24" s="3" t="str">
        <f t="shared" si="12"/>
        <v>Melee</v>
      </c>
      <c r="D24" s="3" t="str">
        <f t="shared" si="13"/>
        <v>Pathfinder : Ignore Movement fr. Forests</v>
      </c>
      <c r="E24" s="3">
        <f t="shared" si="14"/>
        <v>1</v>
      </c>
      <c r="F24" s="3">
        <f t="shared" si="15"/>
        <v>13</v>
      </c>
      <c r="G24" s="3">
        <f t="shared" si="16"/>
        <v>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3.2" x14ac:dyDescent="0.25">
      <c r="A25" s="3" t="str">
        <f>IF((VLOOKUP($A28,UnitListNameToStats,13,FALSE)) = "Spearmen","Replaced", "Spearmen")</f>
        <v>Spearmen</v>
      </c>
      <c r="B25" s="3" t="str">
        <f t="shared" si="11"/>
        <v>Land</v>
      </c>
      <c r="C25" s="3" t="str">
        <f t="shared" si="12"/>
        <v>Anti-Cavalry</v>
      </c>
      <c r="D25" s="3" t="str">
        <f t="shared" si="13"/>
        <v>N/A</v>
      </c>
      <c r="E25" s="3">
        <f t="shared" si="14"/>
        <v>1</v>
      </c>
      <c r="F25" s="3">
        <f t="shared" si="15"/>
        <v>18</v>
      </c>
      <c r="G25" s="3">
        <f t="shared" si="16"/>
        <v>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2" x14ac:dyDescent="0.25">
      <c r="A26" s="3" t="str">
        <f>IF((VLOOKUP($A28,UnitListNameToStats,13,FALSE)) = "Warriors","Replaced", "Warriors")</f>
        <v>Warriors</v>
      </c>
      <c r="B26" s="3" t="str">
        <f t="shared" si="11"/>
        <v>Land</v>
      </c>
      <c r="C26" s="3" t="str">
        <f t="shared" si="12"/>
        <v>Melee</v>
      </c>
      <c r="D26" s="3" t="str">
        <f t="shared" si="13"/>
        <v>N/A</v>
      </c>
      <c r="E26" s="3">
        <f t="shared" si="14"/>
        <v>1</v>
      </c>
      <c r="F26" s="3">
        <f t="shared" si="15"/>
        <v>19</v>
      </c>
      <c r="G26" s="3">
        <f t="shared" si="16"/>
        <v>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3.2" x14ac:dyDescent="0.25">
      <c r="A27" s="3" t="str">
        <f>IF((VLOOKUP($A28,UnitListNameToStats,13,FALSE)) = "Pentekonter","Replaced", "Pentekonter")</f>
        <v>Pentekonter</v>
      </c>
      <c r="B27" s="3" t="str">
        <f t="shared" si="11"/>
        <v>Sea</v>
      </c>
      <c r="C27" s="3" t="str">
        <f t="shared" si="12"/>
        <v>Boarding Velssel</v>
      </c>
      <c r="D27" s="3" t="str">
        <f t="shared" si="13"/>
        <v>Coastal Ship : Cannot spend more than 1 Turn in Deep Water</v>
      </c>
      <c r="E27" s="3">
        <f t="shared" si="14"/>
        <v>1</v>
      </c>
      <c r="F27" s="3">
        <f t="shared" si="15"/>
        <v>22</v>
      </c>
      <c r="G27" s="3">
        <f t="shared" si="16"/>
        <v>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3.2" x14ac:dyDescent="0.25">
      <c r="A28" s="5" t="str">
        <f>VLOOKUP(B3, UnitListCultureName, 2, FALSE)</f>
        <v>Zhanche</v>
      </c>
      <c r="B28" s="5" t="str">
        <f t="shared" si="11"/>
        <v>Land</v>
      </c>
      <c r="C28" s="5" t="str">
        <f t="shared" si="12"/>
        <v>Heavy Cavalry</v>
      </c>
      <c r="D28" s="5" t="str">
        <f t="shared" si="13"/>
        <v>Mandate of Heaven : +3 Str when Stability is High</v>
      </c>
      <c r="E28" s="5">
        <f t="shared" si="14"/>
        <v>1</v>
      </c>
      <c r="F28" s="5">
        <f t="shared" si="15"/>
        <v>23</v>
      </c>
      <c r="G28" s="5">
        <f t="shared" si="16"/>
        <v>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3.2" x14ac:dyDescent="0.25">
      <c r="A29" s="2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3.2" x14ac:dyDescent="0.25">
      <c r="A30" s="6" t="str">
        <f t="shared" ref="A30:B30" si="17">A4</f>
        <v>2 - Classical</v>
      </c>
      <c r="B30" s="6" t="str">
        <f t="shared" si="17"/>
        <v>Maya</v>
      </c>
      <c r="C30" s="2"/>
      <c r="D30" s="2"/>
      <c r="E30" s="2"/>
      <c r="F30" s="2"/>
      <c r="G30" s="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3.2" x14ac:dyDescent="0.25">
      <c r="A31" s="12" t="s">
        <v>17</v>
      </c>
      <c r="B31" s="12" t="s">
        <v>262</v>
      </c>
      <c r="C31" s="12" t="s">
        <v>263</v>
      </c>
      <c r="D31" s="12" t="s">
        <v>264</v>
      </c>
      <c r="E31" s="12" t="s">
        <v>259</v>
      </c>
      <c r="F31" s="12" t="s">
        <v>260</v>
      </c>
      <c r="G31" s="12" t="s">
        <v>261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3.2" x14ac:dyDescent="0.25">
      <c r="A32" s="3" t="str">
        <f>IF((VLOOKUP($A36,UnitListNameToStats,13,FALSE)) = "Horsemen","Replaced", "Horsemen")</f>
        <v>Horsemen</v>
      </c>
      <c r="B32" s="3" t="str">
        <f>VLOOKUP($A32, UnitListNameToStats, 5, FALSE)</f>
        <v>Land</v>
      </c>
      <c r="C32" s="3" t="str">
        <f>VLOOKUP($A32, UnitListNameToStats, 6, FALSE)</f>
        <v>Cavalry</v>
      </c>
      <c r="D32" s="3" t="str">
        <f>VLOOKUP($A32, UnitListNameToStats, 7, FALSE)</f>
        <v>N/A</v>
      </c>
      <c r="E32" s="3">
        <f>VLOOKUP($A32, UnitListNameToStats, 2, FALSE)</f>
        <v>1</v>
      </c>
      <c r="F32" s="3">
        <f>VLOOKUP($A32, UnitListNameToStats, 3, FALSE)</f>
        <v>26</v>
      </c>
      <c r="G32" s="3">
        <f>VLOOKUP($A32, UnitListNameToStats, 4, FALSE)</f>
        <v>6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3.2" x14ac:dyDescent="0.25">
      <c r="A33" s="3" t="str">
        <f>IF((VLOOKUP($A36,UnitListNameToStats,13,FALSE)) = "Swordsmen","Replaced", "Swordsmen")</f>
        <v>Swordsmen</v>
      </c>
      <c r="B33" s="3" t="str">
        <f>VLOOKUP($A33, UnitListNameToStats, 5, FALSE)</f>
        <v>Land</v>
      </c>
      <c r="C33" s="3" t="str">
        <f>VLOOKUP($A33, UnitListNameToStats, 6, FALSE)</f>
        <v>Melee</v>
      </c>
      <c r="D33" s="3" t="str">
        <f>VLOOKUP($A33, UnitListNameToStats, 7, FALSE)</f>
        <v>N/A</v>
      </c>
      <c r="E33" s="3">
        <f>VLOOKUP($A33, UnitListNameToStats, 2, FALSE)</f>
        <v>1</v>
      </c>
      <c r="F33" s="3">
        <f>VLOOKUP($A33, UnitListNameToStats, 3, FALSE)</f>
        <v>25</v>
      </c>
      <c r="G33" s="3">
        <f>VLOOKUP($A33, UnitListNameToStats, 4, FALSE)</f>
        <v>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3.2" x14ac:dyDescent="0.25">
      <c r="A34" s="3" t="str">
        <f>IF((VLOOKUP($A36,UnitListNameToStats,13,FALSE)) = "Quadrireme","Replaced", "Quadrireme")</f>
        <v>Quadrireme</v>
      </c>
      <c r="B34" s="3" t="str">
        <f>VLOOKUP($A34, UnitListNameToStats, 5, FALSE)</f>
        <v>Sea</v>
      </c>
      <c r="C34" s="3" t="str">
        <f>VLOOKUP($A34, UnitListNameToStats, 6, FALSE)</f>
        <v>Boarding Velssel</v>
      </c>
      <c r="D34" s="3" t="str">
        <f>VLOOKUP($A34, UnitListNameToStats, 7, FALSE)</f>
        <v>Navigator : Damaged by Consecutive Turns Spent in Deep Water</v>
      </c>
      <c r="E34" s="3">
        <f>VLOOKUP($A34, UnitListNameToStats, 2, FALSE)</f>
        <v>1</v>
      </c>
      <c r="F34" s="3">
        <f>VLOOKUP($A34, UnitListNameToStats, 3, FALSE)</f>
        <v>28</v>
      </c>
      <c r="G34" s="3">
        <f>VLOOKUP($A34, UnitListNameToStats, 4, FALSE)</f>
        <v>4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3.2" x14ac:dyDescent="0.25">
      <c r="A35" s="3" t="str">
        <f>IF((VLOOKUP($A36,UnitListNameToStats,13,FALSE)) = "Transport Galley","Replaced", "Transport Galley")</f>
        <v>Transport Galley</v>
      </c>
      <c r="B35" s="3" t="str">
        <f>VLOOKUP($A35, UnitListNameToStats, 5, FALSE)</f>
        <v>Sea</v>
      </c>
      <c r="C35" s="3" t="str">
        <f>VLOOKUP($A35, UnitListNameToStats, 6, FALSE)</f>
        <v>Naval Transport</v>
      </c>
      <c r="D35" s="3" t="str">
        <f>VLOOKUP($A35, UnitListNameToStats, 7, FALSE)</f>
        <v>Coastal Ship : Cannot spend more than 1 Turn in Deep Water</v>
      </c>
      <c r="E35" s="3">
        <f>VLOOKUP($A35, UnitListNameToStats, 2, FALSE)</f>
        <v>1</v>
      </c>
      <c r="F35" s="3">
        <f>VLOOKUP($A35, UnitListNameToStats, 3, FALSE)</f>
        <v>8</v>
      </c>
      <c r="G35" s="3">
        <f>VLOOKUP($A35, UnitListNameToStats, 4, FALSE)</f>
        <v>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3.2" x14ac:dyDescent="0.25">
      <c r="A36" s="6" t="str">
        <f>VLOOKUP(B4, UnitListCultureName, 2, FALSE)</f>
        <v>Noble Javelineers</v>
      </c>
      <c r="B36" s="6" t="str">
        <f>VLOOKUP($A36, UnitListNameToStats, 5, FALSE)</f>
        <v>Land</v>
      </c>
      <c r="C36" s="6" t="str">
        <f>VLOOKUP($A36, UnitListNameToStats, 6, FALSE)</f>
        <v>Ranged</v>
      </c>
      <c r="D36" s="6" t="str">
        <f>VLOOKUP($A36, UnitListNameToStats, 7, FALSE)</f>
        <v>Poison : -2 Move -1 Range on Poisoned Targets</v>
      </c>
      <c r="E36" s="6">
        <f>VLOOKUP($A36, UnitListNameToStats, 2, FALSE)</f>
        <v>3</v>
      </c>
      <c r="F36" s="6">
        <f>VLOOKUP($A36, UnitListNameToStats, 3, FALSE)</f>
        <v>25</v>
      </c>
      <c r="G36" s="6">
        <f>VLOOKUP($A36, UnitListNameToStats, 4, FALSE)</f>
        <v>4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3.2" x14ac:dyDescent="0.25">
      <c r="A37" s="2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3.2" x14ac:dyDescent="0.25">
      <c r="A38" s="7" t="str">
        <f t="shared" ref="A38:B38" si="18">A5</f>
        <v>3 - Medieval</v>
      </c>
      <c r="B38" s="7" t="str">
        <f t="shared" si="18"/>
        <v>Khmer</v>
      </c>
      <c r="C38" s="2"/>
      <c r="D38" s="2"/>
      <c r="E38" s="2"/>
      <c r="F38" s="2"/>
      <c r="G38" s="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3.2" x14ac:dyDescent="0.25">
      <c r="A39" s="12" t="s">
        <v>17</v>
      </c>
      <c r="B39" s="12" t="s">
        <v>262</v>
      </c>
      <c r="C39" s="12" t="s">
        <v>263</v>
      </c>
      <c r="D39" s="12" t="s">
        <v>264</v>
      </c>
      <c r="E39" s="12" t="s">
        <v>259</v>
      </c>
      <c r="F39" s="12" t="s">
        <v>260</v>
      </c>
      <c r="G39" s="12" t="s">
        <v>261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3.2" x14ac:dyDescent="0.25">
      <c r="A40" s="3" t="str">
        <f>IF((VLOOKUP($A46,UnitListNameToStats,13,FALSE)) = "Crossbowmen","Replaced", "Crossbowmen")</f>
        <v>Crossbowmen</v>
      </c>
      <c r="B40" s="3" t="str">
        <f t="shared" ref="B40:B46" si="19">VLOOKUP($A40, UnitListNameToStats, 5, FALSE)</f>
        <v>Land</v>
      </c>
      <c r="C40" s="3" t="str">
        <f t="shared" ref="C40:C46" si="20">VLOOKUP($A40, UnitListNameToStats, 6, FALSE)</f>
        <v>Ranged</v>
      </c>
      <c r="D40" s="3" t="str">
        <f t="shared" ref="D40:D46" si="21">VLOOKUP($A40, UnitListNameToStats, 7, FALSE)</f>
        <v>N/A</v>
      </c>
      <c r="E40" s="3">
        <f t="shared" ref="E40:E46" si="22">VLOOKUP($A40, UnitListNameToStats, 2, FALSE)</f>
        <v>3</v>
      </c>
      <c r="F40" s="3">
        <f t="shared" ref="F40:F46" si="23">VLOOKUP($A40, UnitListNameToStats, 3, FALSE)</f>
        <v>31</v>
      </c>
      <c r="G40" s="3">
        <f t="shared" ref="G40:G46" si="24">VLOOKUP($A40, UnitListNameToStats, 4, FALSE)</f>
        <v>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3.2" x14ac:dyDescent="0.25">
      <c r="A41" s="3" t="str">
        <f>IF((VLOOKUP($A46,UnitListNameToStats,13,FALSE)) = "Great Swordsmen","Replaced", "Great Swordsmen")</f>
        <v>Great Swordsmen</v>
      </c>
      <c r="B41" s="3" t="str">
        <f t="shared" si="19"/>
        <v>Land</v>
      </c>
      <c r="C41" s="3" t="str">
        <f t="shared" si="20"/>
        <v>Melee</v>
      </c>
      <c r="D41" s="3" t="str">
        <f t="shared" si="21"/>
        <v>N/A</v>
      </c>
      <c r="E41" s="3">
        <f t="shared" si="22"/>
        <v>1</v>
      </c>
      <c r="F41" s="3">
        <f t="shared" si="23"/>
        <v>35</v>
      </c>
      <c r="G41" s="3">
        <f t="shared" si="24"/>
        <v>4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3.2" x14ac:dyDescent="0.25">
      <c r="A42" s="3" t="str">
        <f>IF((VLOOKUP($A46,UnitListNameToStats,13,FALSE)) = "Knights","Replaced", "Knights")</f>
        <v>Knights</v>
      </c>
      <c r="B42" s="3" t="str">
        <f t="shared" si="19"/>
        <v>Land</v>
      </c>
      <c r="C42" s="3" t="str">
        <f t="shared" si="20"/>
        <v>Heavy Cavalry</v>
      </c>
      <c r="D42" s="3" t="str">
        <f t="shared" si="21"/>
        <v>N/A</v>
      </c>
      <c r="E42" s="3">
        <f t="shared" si="22"/>
        <v>1</v>
      </c>
      <c r="F42" s="3">
        <f t="shared" si="23"/>
        <v>36</v>
      </c>
      <c r="G42" s="3">
        <f t="shared" si="24"/>
        <v>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3.2" x14ac:dyDescent="0.25">
      <c r="A43" s="3" t="str">
        <f>IF((VLOOKUP($A46,UnitListNameToStats,13,FALSE)) = "Pikemen","Replaced", "Pikemen")</f>
        <v>Pikemen</v>
      </c>
      <c r="B43" s="3" t="str">
        <f t="shared" si="19"/>
        <v>Land</v>
      </c>
      <c r="C43" s="3" t="str">
        <f t="shared" si="20"/>
        <v>Anti-Cavalry</v>
      </c>
      <c r="D43" s="3" t="str">
        <f t="shared" si="21"/>
        <v>N/A</v>
      </c>
      <c r="E43" s="3">
        <f t="shared" si="22"/>
        <v>1</v>
      </c>
      <c r="F43" s="3">
        <f t="shared" si="23"/>
        <v>31</v>
      </c>
      <c r="G43" s="3">
        <f t="shared" si="24"/>
        <v>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3.2" x14ac:dyDescent="0.25">
      <c r="A44" s="3" t="str">
        <f>IF((VLOOKUP($A46,UnitListNameToStats,13,FALSE)) = "Saboteur","Replaced", "Saboteur")</f>
        <v>Saboteur</v>
      </c>
      <c r="B44" s="3" t="str">
        <f t="shared" si="19"/>
        <v>Land</v>
      </c>
      <c r="C44" s="3" t="str">
        <f t="shared" si="20"/>
        <v>Melee</v>
      </c>
      <c r="D44" s="3" t="str">
        <f t="shared" si="21"/>
        <v>Stealth : Cannot be seen by non-adjacent Units</v>
      </c>
      <c r="E44" s="3">
        <f t="shared" si="22"/>
        <v>1</v>
      </c>
      <c r="F44" s="3">
        <f t="shared" si="23"/>
        <v>31</v>
      </c>
      <c r="G44" s="3">
        <f t="shared" si="24"/>
        <v>4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3.2" x14ac:dyDescent="0.25">
      <c r="A45" s="3" t="str">
        <f>IF((VLOOKUP($A46,UnitListNameToStats,13,FALSE)) = "Cog","Replaced", "Cog")</f>
        <v>Cog</v>
      </c>
      <c r="B45" s="3" t="str">
        <f t="shared" si="19"/>
        <v>Sea</v>
      </c>
      <c r="C45" s="3" t="str">
        <f t="shared" si="20"/>
        <v>Boarding Velssel</v>
      </c>
      <c r="D45" s="3" t="str">
        <f t="shared" si="21"/>
        <v>Skilled Navigator : Reduced Damage from Deep Water</v>
      </c>
      <c r="E45" s="3">
        <f t="shared" si="22"/>
        <v>1</v>
      </c>
      <c r="F45" s="3">
        <f t="shared" si="23"/>
        <v>33</v>
      </c>
      <c r="G45" s="3">
        <f t="shared" si="24"/>
        <v>4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3.2" x14ac:dyDescent="0.25">
      <c r="A46" s="7" t="str">
        <f>VLOOKUP(B5, UnitListCultureName, 2, FALSE)</f>
        <v>Dhanvi-gaja</v>
      </c>
      <c r="B46" s="7" t="str">
        <f t="shared" si="19"/>
        <v>Land</v>
      </c>
      <c r="C46" s="7" t="str">
        <f t="shared" si="20"/>
        <v>Ranged</v>
      </c>
      <c r="D46" s="7" t="str">
        <f t="shared" si="21"/>
        <v>Move and Fire : Can Attack then Full Move</v>
      </c>
      <c r="E46" s="7">
        <f t="shared" si="22"/>
        <v>3</v>
      </c>
      <c r="F46" s="7">
        <f t="shared" si="23"/>
        <v>42</v>
      </c>
      <c r="G46" s="7">
        <f t="shared" si="24"/>
        <v>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3.2" x14ac:dyDescent="0.25">
      <c r="A47" s="2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3.2" x14ac:dyDescent="0.25">
      <c r="A48" s="8" t="str">
        <f t="shared" ref="A48:B48" si="25">A6</f>
        <v>4 - Early Modern</v>
      </c>
      <c r="B48" s="8" t="str">
        <f t="shared" si="25"/>
        <v>Mughals</v>
      </c>
      <c r="C48" s="2"/>
      <c r="D48" s="2"/>
      <c r="E48" s="2"/>
      <c r="F48" s="2"/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3.2" x14ac:dyDescent="0.25">
      <c r="A49" s="12" t="s">
        <v>17</v>
      </c>
      <c r="B49" s="12" t="s">
        <v>262</v>
      </c>
      <c r="C49" s="12" t="s">
        <v>263</v>
      </c>
      <c r="D49" s="12" t="s">
        <v>264</v>
      </c>
      <c r="E49" s="12" t="s">
        <v>259</v>
      </c>
      <c r="F49" s="12" t="s">
        <v>260</v>
      </c>
      <c r="G49" s="12" t="s">
        <v>261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3.2" x14ac:dyDescent="0.25">
      <c r="A50" s="3" t="str">
        <f>IF((VLOOKUP($A59,UnitListNameToStats,13,FALSE)) = "Arquebusiers","Replaced", "Arquebusiers")</f>
        <v>Arquebusiers</v>
      </c>
      <c r="B50" s="3" t="str">
        <f t="shared" ref="B50:B59" si="26">VLOOKUP($A50, UnitListNameToStats, 5, FALSE)</f>
        <v>Land</v>
      </c>
      <c r="C50" s="3" t="str">
        <f t="shared" ref="C50:C59" si="27">VLOOKUP($A50, UnitListNameToStats, 6, FALSE)</f>
        <v>Gunner</v>
      </c>
      <c r="D50" s="3" t="str">
        <f t="shared" ref="D50:D59" si="28">VLOOKUP($A50, UnitListNameToStats, 7, FALSE)</f>
        <v>Move Or Attack : Can't do both in 1 Combat Turn</v>
      </c>
      <c r="E50" s="3">
        <f t="shared" ref="E50:E59" si="29">VLOOKUP($A50, UnitListNameToStats, 2, FALSE)</f>
        <v>4</v>
      </c>
      <c r="F50" s="3">
        <f t="shared" ref="F50:F59" si="30">VLOOKUP($A50, UnitListNameToStats, 3, FALSE)</f>
        <v>39</v>
      </c>
      <c r="G50" s="3">
        <f t="shared" ref="G50:G59" si="31">VLOOKUP($A50, UnitListNameToStats, 4, FALSE)</f>
        <v>4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3.2" x14ac:dyDescent="0.25">
      <c r="A51" s="3" t="str">
        <f>IF((VLOOKUP($A59,UnitListNameToStats,13,FALSE)) = "Halberdiers","Replaced", "Halberdiers")</f>
        <v>Halberdiers</v>
      </c>
      <c r="B51" s="3" t="str">
        <f t="shared" si="26"/>
        <v>Land</v>
      </c>
      <c r="C51" s="3" t="str">
        <f t="shared" si="27"/>
        <v>Anti-Cavalry</v>
      </c>
      <c r="D51" s="3" t="str">
        <f t="shared" si="28"/>
        <v>N/A</v>
      </c>
      <c r="E51" s="3">
        <f t="shared" si="29"/>
        <v>1</v>
      </c>
      <c r="F51" s="3">
        <f t="shared" si="30"/>
        <v>41</v>
      </c>
      <c r="G51" s="3">
        <f t="shared" si="31"/>
        <v>4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2" x14ac:dyDescent="0.25">
      <c r="A52" s="3" t="str">
        <f>IF((VLOOKUP($A59,UnitListNameToStats,13,FALSE)) = "Mortar","Replaced", "Mortar")</f>
        <v>Mortar</v>
      </c>
      <c r="B52" s="3" t="str">
        <f t="shared" si="26"/>
        <v>Land</v>
      </c>
      <c r="C52" s="3" t="str">
        <f t="shared" si="27"/>
        <v>Heavy Weapon</v>
      </c>
      <c r="D52" s="3" t="str">
        <f t="shared" si="28"/>
        <v>Indirect Shatter : Can attack w/o LOS. Can Attack Fortifications</v>
      </c>
      <c r="E52" s="3">
        <f t="shared" si="29"/>
        <v>8</v>
      </c>
      <c r="F52" s="3">
        <f t="shared" si="30"/>
        <v>40</v>
      </c>
      <c r="G52" s="3">
        <f t="shared" si="31"/>
        <v>4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2" x14ac:dyDescent="0.25">
      <c r="A53" s="3" t="str">
        <f>IF((VLOOKUP($A59,UnitListNameToStats,13,FALSE)) = "Musketeers","Replaced", "Musketeers")</f>
        <v>Musketeers</v>
      </c>
      <c r="B53" s="3" t="str">
        <f t="shared" si="26"/>
        <v>Land</v>
      </c>
      <c r="C53" s="3" t="str">
        <f t="shared" si="27"/>
        <v>Gunner</v>
      </c>
      <c r="D53" s="3" t="str">
        <f t="shared" si="28"/>
        <v>Move Or Attack : Can't do both in 1 Combat Turn</v>
      </c>
      <c r="E53" s="3">
        <f t="shared" si="29"/>
        <v>4</v>
      </c>
      <c r="F53" s="3">
        <f t="shared" si="30"/>
        <v>46</v>
      </c>
      <c r="G53" s="3">
        <f t="shared" si="31"/>
        <v>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2" x14ac:dyDescent="0.25">
      <c r="A54" s="3" t="str">
        <f>IF((VLOOKUP($A59,UnitListNameToStats,13,FALSE)) = "Settler","Replaced", "Settler")</f>
        <v>Settler</v>
      </c>
      <c r="B54" s="3" t="str">
        <f t="shared" si="26"/>
        <v>Land</v>
      </c>
      <c r="C54" s="3" t="str">
        <f t="shared" si="27"/>
        <v>Melee</v>
      </c>
      <c r="D54" s="3" t="str">
        <f t="shared" si="28"/>
        <v>Advanced Colony : Create City w/ Industry and 3 Pop, + Infstruct.</v>
      </c>
      <c r="E54" s="3">
        <f t="shared" si="29"/>
        <v>1</v>
      </c>
      <c r="F54" s="3">
        <f t="shared" si="30"/>
        <v>32</v>
      </c>
      <c r="G54" s="3">
        <f t="shared" si="31"/>
        <v>4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2" x14ac:dyDescent="0.25">
      <c r="A55" s="3" t="str">
        <f>IF((VLOOKUP($A59,UnitListNameToStats,13,FALSE)) = "Caravel","Replaced", "Caravel")</f>
        <v>Caravel</v>
      </c>
      <c r="B55" s="3" t="str">
        <f t="shared" si="26"/>
        <v>Sea</v>
      </c>
      <c r="C55" s="3" t="str">
        <f t="shared" si="27"/>
        <v>Naval Transport</v>
      </c>
      <c r="D55" s="3" t="str">
        <f t="shared" si="28"/>
        <v>High Sea : Ignores Deep Water Damage</v>
      </c>
      <c r="E55" s="3">
        <f t="shared" si="29"/>
        <v>1</v>
      </c>
      <c r="F55" s="3">
        <f t="shared" si="30"/>
        <v>27</v>
      </c>
      <c r="G55" s="3">
        <f t="shared" si="31"/>
        <v>3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2" x14ac:dyDescent="0.25">
      <c r="A56" s="3" t="str">
        <f>IF((VLOOKUP($A59,UnitListNameToStats,13,FALSE)) = "Carrack","Replaced", "Carrack")</f>
        <v>Carrack</v>
      </c>
      <c r="B56" s="3" t="str">
        <f t="shared" si="26"/>
        <v>Sea</v>
      </c>
      <c r="C56" s="3" t="str">
        <f t="shared" si="27"/>
        <v>Gun Platform</v>
      </c>
      <c r="D56" s="3" t="str">
        <f t="shared" si="28"/>
        <v>N/A</v>
      </c>
      <c r="E56" s="3">
        <f t="shared" si="29"/>
        <v>4</v>
      </c>
      <c r="F56" s="3">
        <f t="shared" si="30"/>
        <v>39</v>
      </c>
      <c r="G56" s="3">
        <f t="shared" si="31"/>
        <v>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2" x14ac:dyDescent="0.25">
      <c r="A57" s="3" t="str">
        <f>IF((VLOOKUP($A59,UnitListNameToStats,13,FALSE)) = "Man O' War","Replaced", "Man O' War")</f>
        <v>Man O' War</v>
      </c>
      <c r="B57" s="3" t="str">
        <f t="shared" si="26"/>
        <v>Sea</v>
      </c>
      <c r="C57" s="3" t="str">
        <f t="shared" si="27"/>
        <v>Gun Platform</v>
      </c>
      <c r="D57" s="3" t="str">
        <f t="shared" si="28"/>
        <v>N/A</v>
      </c>
      <c r="E57" s="3">
        <f t="shared" si="29"/>
        <v>4</v>
      </c>
      <c r="F57" s="3">
        <f t="shared" si="30"/>
        <v>53</v>
      </c>
      <c r="G57" s="3">
        <f t="shared" si="31"/>
        <v>6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2" x14ac:dyDescent="0.25">
      <c r="A58" s="3" t="str">
        <f>IF((VLOOKUP($A59,UnitListNameToStats,13,FALSE)) = "Privateers","Replaced", "Privateers")</f>
        <v>Privateers</v>
      </c>
      <c r="B58" s="3" t="str">
        <f t="shared" si="26"/>
        <v>Sea</v>
      </c>
      <c r="C58" s="3" t="str">
        <f t="shared" si="27"/>
        <v>Boarding Velssel</v>
      </c>
      <c r="D58" s="3" t="str">
        <f t="shared" si="28"/>
        <v>Privateer : Appears Neutral, does not cause Grievances</v>
      </c>
      <c r="E58" s="3">
        <f t="shared" si="29"/>
        <v>1</v>
      </c>
      <c r="F58" s="3">
        <f t="shared" si="30"/>
        <v>40</v>
      </c>
      <c r="G58" s="3">
        <f t="shared" si="31"/>
        <v>4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2" x14ac:dyDescent="0.25">
      <c r="A59" s="8" t="str">
        <f>VLOOKUP(B48, UnitListCultureName, 2, FALSE)</f>
        <v>Gajnal</v>
      </c>
      <c r="B59" s="8" t="str">
        <f t="shared" si="26"/>
        <v>Land</v>
      </c>
      <c r="C59" s="8" t="str">
        <f t="shared" si="27"/>
        <v>Gunner</v>
      </c>
      <c r="D59" s="8" t="str">
        <f t="shared" si="28"/>
        <v>Move and Fire : Can Attack then Full Move</v>
      </c>
      <c r="E59" s="8">
        <f t="shared" si="29"/>
        <v>4</v>
      </c>
      <c r="F59" s="8">
        <f t="shared" si="30"/>
        <v>49</v>
      </c>
      <c r="G59" s="8">
        <f t="shared" si="31"/>
        <v>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2" x14ac:dyDescent="0.25">
      <c r="A60" s="2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2" x14ac:dyDescent="0.25">
      <c r="A61" s="9" t="str">
        <f t="shared" ref="A61:B61" si="32">A7</f>
        <v>5 - Industrial</v>
      </c>
      <c r="B61" s="9" t="str">
        <f t="shared" si="32"/>
        <v>French</v>
      </c>
      <c r="C61" s="2"/>
      <c r="D61" s="2"/>
      <c r="E61" s="2"/>
      <c r="F61" s="2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2" x14ac:dyDescent="0.25">
      <c r="A62" s="12" t="s">
        <v>17</v>
      </c>
      <c r="B62" s="12" t="s">
        <v>262</v>
      </c>
      <c r="C62" s="12" t="s">
        <v>263</v>
      </c>
      <c r="D62" s="12" t="s">
        <v>264</v>
      </c>
      <c r="E62" s="12" t="s">
        <v>259</v>
      </c>
      <c r="F62" s="12" t="s">
        <v>260</v>
      </c>
      <c r="G62" s="12" t="s">
        <v>261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2" x14ac:dyDescent="0.25">
      <c r="A63" s="3" t="str">
        <f>IF((VLOOKUP($A73,UnitListNameToStats,13,FALSE)) = "Dragoons","Replaced", "Dragoons")</f>
        <v>Dragoons</v>
      </c>
      <c r="B63" s="3" t="str">
        <f t="shared" ref="B63:B73" si="33">VLOOKUP($A63, UnitListNameToStats, 5, FALSE)</f>
        <v>Land</v>
      </c>
      <c r="C63" s="3" t="str">
        <f t="shared" ref="C63:C73" si="34">VLOOKUP($A63, UnitListNameToStats, 6, FALSE)</f>
        <v>Gunner</v>
      </c>
      <c r="D63" s="3" t="str">
        <f t="shared" ref="D63:D73" si="35">VLOOKUP($A63, UnitListNameToStats, 7, FALSE)</f>
        <v>Move and Fire : Can Attack then Full Move</v>
      </c>
      <c r="E63" s="3">
        <f t="shared" ref="E63:E73" si="36">VLOOKUP($A63, UnitListNameToStats, 2, FALSE)</f>
        <v>4</v>
      </c>
      <c r="F63" s="3">
        <f t="shared" ref="F63:F73" si="37">VLOOKUP($A63, UnitListNameToStats, 3, FALSE)</f>
        <v>46</v>
      </c>
      <c r="G63" s="3">
        <f t="shared" ref="G63:G73" si="38">VLOOKUP($A63, UnitListNameToStats, 4, FALSE)</f>
        <v>6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2" x14ac:dyDescent="0.25">
      <c r="A64" s="3" t="str">
        <f>IF((VLOOKUP($A73,UnitListNameToStats,13,FALSE)) = "Heavy Machine Gun","Replaced", "Heavy Machine Gun")</f>
        <v>Heavy Machine Gun</v>
      </c>
      <c r="B64" s="3" t="str">
        <f t="shared" si="33"/>
        <v>Land</v>
      </c>
      <c r="C64" s="3" t="str">
        <f t="shared" si="34"/>
        <v>Heavy Cavalry</v>
      </c>
      <c r="D64" s="3" t="str">
        <f t="shared" si="35"/>
        <v>Suppression : Target Unit cannot move next Turn, - STR</v>
      </c>
      <c r="E64" s="3">
        <f t="shared" si="36"/>
        <v>8</v>
      </c>
      <c r="F64" s="3">
        <f t="shared" si="37"/>
        <v>50</v>
      </c>
      <c r="G64" s="3">
        <f t="shared" si="38"/>
        <v>4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2" x14ac:dyDescent="0.25">
      <c r="A65" s="3" t="str">
        <f>IF((VLOOKUP($A73,UnitListNameToStats,13,FALSE)) = "Howitzer","Replaced", "Howitzer")</f>
        <v>Howitzer</v>
      </c>
      <c r="B65" s="3" t="str">
        <f t="shared" si="33"/>
        <v>Land</v>
      </c>
      <c r="C65" s="3" t="str">
        <f t="shared" si="34"/>
        <v>Heavy Weapon</v>
      </c>
      <c r="D65" s="3" t="str">
        <f t="shared" si="35"/>
        <v>Shatter : Attack Fortification. Removes Dug In</v>
      </c>
      <c r="E65" s="3">
        <f t="shared" si="36"/>
        <v>8</v>
      </c>
      <c r="F65" s="3">
        <f t="shared" si="37"/>
        <v>49</v>
      </c>
      <c r="G65" s="3">
        <f t="shared" si="38"/>
        <v>4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2" x14ac:dyDescent="0.25">
      <c r="A66" s="3" t="str">
        <f>IF((VLOOKUP($A73,UnitListNameToStats,13,FALSE)) = "Line Infantry","Replaced", "Line Infantry")</f>
        <v>Line Infantry</v>
      </c>
      <c r="B66" s="3" t="str">
        <f t="shared" si="33"/>
        <v>Land</v>
      </c>
      <c r="C66" s="3" t="str">
        <f t="shared" si="34"/>
        <v>Gunner</v>
      </c>
      <c r="D66" s="3" t="str">
        <f t="shared" si="35"/>
        <v>N/A</v>
      </c>
      <c r="E66" s="3">
        <f t="shared" si="36"/>
        <v>4</v>
      </c>
      <c r="F66" s="3">
        <f t="shared" si="37"/>
        <v>47</v>
      </c>
      <c r="G66" s="3">
        <f t="shared" si="38"/>
        <v>4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2" x14ac:dyDescent="0.25">
      <c r="A67" s="3" t="str">
        <f>IF((VLOOKUP($A73,UnitListNameToStats,13,FALSE)) = "Partisans","Replaced", "Partisans")</f>
        <v>Partisans</v>
      </c>
      <c r="B67" s="3" t="str">
        <f t="shared" si="33"/>
        <v>Land</v>
      </c>
      <c r="C67" s="3" t="str">
        <f t="shared" si="34"/>
        <v>Gunner</v>
      </c>
      <c r="D67" s="3" t="str">
        <f t="shared" si="35"/>
        <v>Stealth : Cannot be seen by non-adjacent Units</v>
      </c>
      <c r="E67" s="3">
        <f t="shared" si="36"/>
        <v>4</v>
      </c>
      <c r="F67" s="3">
        <f t="shared" si="37"/>
        <v>45</v>
      </c>
      <c r="G67" s="3">
        <f t="shared" si="38"/>
        <v>4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2" x14ac:dyDescent="0.25">
      <c r="A68" s="3" t="str">
        <f>IF((VLOOKUP($A73,UnitListNameToStats,13,FALSE)) = "Siege Artillery","Replaced", "Siege Artillery")</f>
        <v>Siege Artillery</v>
      </c>
      <c r="B68" s="3" t="str">
        <f t="shared" si="33"/>
        <v>Land</v>
      </c>
      <c r="C68" s="3" t="str">
        <f t="shared" si="34"/>
        <v>Heavy Weapon</v>
      </c>
      <c r="D68" s="3" t="str">
        <f t="shared" si="35"/>
        <v>Bombard : Can Attack Districts / Units out of Battle. Removes Dug In</v>
      </c>
      <c r="E68" s="3">
        <f t="shared" si="36"/>
        <v>8</v>
      </c>
      <c r="F68" s="3">
        <f t="shared" si="37"/>
        <v>51</v>
      </c>
      <c r="G68" s="3">
        <f t="shared" si="38"/>
        <v>4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2" x14ac:dyDescent="0.25">
      <c r="A69" s="3" t="str">
        <f>IF((VLOOKUP($A73,UnitListNameToStats,13,FALSE)) = "Ironclad","Replaced", "Ironclad")</f>
        <v>Ironclad</v>
      </c>
      <c r="B69" s="3" t="str">
        <f t="shared" si="33"/>
        <v>Sea</v>
      </c>
      <c r="C69" s="3" t="str">
        <f t="shared" si="34"/>
        <v>Armoured Vessel</v>
      </c>
      <c r="D69" s="3" t="str">
        <f t="shared" si="35"/>
        <v>Inner Sea Mastodonte : +11 Combat Str. In Coastal Water</v>
      </c>
      <c r="E69" s="3">
        <f t="shared" si="36"/>
        <v>5</v>
      </c>
      <c r="F69" s="3">
        <f t="shared" si="37"/>
        <v>54</v>
      </c>
      <c r="G69" s="3">
        <f t="shared" si="38"/>
        <v>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2" x14ac:dyDescent="0.25">
      <c r="A70" s="3" t="str">
        <f>IF((VLOOKUP($A73,UnitListNameToStats,13,FALSE)) = "Steam Frigate","Replaced", "Steam Frigate")</f>
        <v>Steam Frigate</v>
      </c>
      <c r="B70" s="3" t="str">
        <f t="shared" si="33"/>
        <v>Sea</v>
      </c>
      <c r="C70" s="3" t="str">
        <f t="shared" si="34"/>
        <v>Gun Platform</v>
      </c>
      <c r="D70" s="3" t="str">
        <f t="shared" si="35"/>
        <v>N/A</v>
      </c>
      <c r="E70" s="3">
        <f t="shared" si="36"/>
        <v>4</v>
      </c>
      <c r="F70" s="3">
        <f t="shared" si="37"/>
        <v>51</v>
      </c>
      <c r="G70" s="3">
        <f t="shared" si="38"/>
        <v>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2" x14ac:dyDescent="0.25">
      <c r="A71" s="3" t="str">
        <f>IF((VLOOKUP($A73,UnitListNameToStats,13,FALSE)) = "Torpedo Boat","Replaced", "Torpedo Boat")</f>
        <v>Torpedo Boat</v>
      </c>
      <c r="B71" s="3" t="str">
        <f t="shared" si="33"/>
        <v>Sea</v>
      </c>
      <c r="C71" s="3" t="str">
        <f t="shared" si="34"/>
        <v>Torpedo Vessel</v>
      </c>
      <c r="D71" s="3" t="str">
        <f t="shared" si="35"/>
        <v>N/A</v>
      </c>
      <c r="E71" s="3">
        <f t="shared" si="36"/>
        <v>3</v>
      </c>
      <c r="F71" s="3">
        <f t="shared" si="37"/>
        <v>50</v>
      </c>
      <c r="G71" s="3">
        <f t="shared" si="38"/>
        <v>8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2" x14ac:dyDescent="0.25">
      <c r="A72" s="3" t="str">
        <f>IF((VLOOKUP($A73,UnitListNameToStats,13,FALSE)) = "Biplane","Replaced", "Biplane")</f>
        <v>Biplane</v>
      </c>
      <c r="B72" s="3" t="str">
        <f t="shared" si="33"/>
        <v>Air</v>
      </c>
      <c r="C72" s="3" t="str">
        <f t="shared" si="34"/>
        <v>Fighter</v>
      </c>
      <c r="D72" s="3" t="str">
        <f t="shared" si="35"/>
        <v>N/A</v>
      </c>
      <c r="E72" s="3">
        <f t="shared" si="36"/>
        <v>14</v>
      </c>
      <c r="F72" s="3">
        <f t="shared" si="37"/>
        <v>51</v>
      </c>
      <c r="G72" s="3">
        <f t="shared" si="38"/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2" x14ac:dyDescent="0.25">
      <c r="A73" s="9" t="str">
        <f>VLOOKUP(B7, UnitListCultureName, 2, FALSE)</f>
        <v>Cuirassiers</v>
      </c>
      <c r="B73" s="9" t="str">
        <f t="shared" si="33"/>
        <v>Land</v>
      </c>
      <c r="C73" s="9" t="str">
        <f t="shared" si="34"/>
        <v>Heavy Cavalry</v>
      </c>
      <c r="D73" s="9" t="str">
        <f t="shared" si="35"/>
        <v>Heavier Charge : x3 STR (+9) when Charging</v>
      </c>
      <c r="E73" s="9">
        <f t="shared" si="36"/>
        <v>1</v>
      </c>
      <c r="F73" s="9">
        <f t="shared" si="37"/>
        <v>54</v>
      </c>
      <c r="G73" s="9">
        <f t="shared" si="38"/>
        <v>6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2" x14ac:dyDescent="0.25">
      <c r="A74" s="2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2" x14ac:dyDescent="0.25">
      <c r="A75" s="10" t="str">
        <f t="shared" ref="A75:B75" si="39">A8</f>
        <v>6 - Contemporary</v>
      </c>
      <c r="B75" s="10" t="str">
        <f t="shared" si="39"/>
        <v>Australians</v>
      </c>
      <c r="C75" s="2"/>
      <c r="D75" s="2"/>
      <c r="E75" s="2"/>
      <c r="F75" s="2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2" x14ac:dyDescent="0.25">
      <c r="A76" s="12" t="s">
        <v>17</v>
      </c>
      <c r="B76" s="12" t="s">
        <v>262</v>
      </c>
      <c r="C76" s="12" t="s">
        <v>263</v>
      </c>
      <c r="D76" s="12" t="s">
        <v>264</v>
      </c>
      <c r="E76" s="12" t="s">
        <v>259</v>
      </c>
      <c r="F76" s="12" t="s">
        <v>260</v>
      </c>
      <c r="G76" s="12" t="s">
        <v>261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2" x14ac:dyDescent="0.25">
      <c r="A77" s="3" t="str">
        <f>IF((VLOOKUP($A97,UnitListNameToStats,13,FALSE)) = "Anti-Aircraft Gun","Replaced", "Anti-Aircraft Gun")</f>
        <v>Anti-Aircraft Gun</v>
      </c>
      <c r="B77" s="3" t="str">
        <f t="shared" ref="B77:B97" si="40">VLOOKUP($A77, UnitListNameToStats, 5, FALSE)</f>
        <v>Land</v>
      </c>
      <c r="C77" s="3" t="str">
        <f t="shared" ref="C77:C97" si="41">VLOOKUP($A77, UnitListNameToStats, 6, FALSE)</f>
        <v>Armoured Vehicle</v>
      </c>
      <c r="D77" s="3" t="str">
        <f t="shared" ref="D77:D97" si="42">VLOOKUP($A77, UnitListNameToStats, 7, FALSE)</f>
        <v>N/A</v>
      </c>
      <c r="E77" s="3">
        <f t="shared" ref="E77:E97" si="43">VLOOKUP($A77, UnitListNameToStats, 2, FALSE)</f>
        <v>6</v>
      </c>
      <c r="F77" s="3">
        <f t="shared" ref="F77:F97" si="44">VLOOKUP($A77, UnitListNameToStats, 3, FALSE)</f>
        <v>55</v>
      </c>
      <c r="G77" s="3">
        <f t="shared" ref="G77:G97" si="45">VLOOKUP($A77, UnitListNameToStats, 4, FALSE)</f>
        <v>8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2" x14ac:dyDescent="0.25">
      <c r="A78" s="3" t="str">
        <f>IF((VLOOKUP($A97,UnitListNameToStats,13,FALSE)) = "Anti-Tank Gun","Replaced", "Anti-Tank Gun")</f>
        <v>Anti-Tank Gun</v>
      </c>
      <c r="B78" s="3" t="str">
        <f t="shared" si="40"/>
        <v>Land</v>
      </c>
      <c r="C78" s="3" t="str">
        <f t="shared" si="41"/>
        <v>Heavy Weapon</v>
      </c>
      <c r="D78" s="3" t="str">
        <f t="shared" si="42"/>
        <v>Armor Piercing : + STR vs Armoured Vehicles / Armoured Vessels</v>
      </c>
      <c r="E78" s="3">
        <f t="shared" si="43"/>
        <v>8</v>
      </c>
      <c r="F78" s="3">
        <f t="shared" si="44"/>
        <v>53</v>
      </c>
      <c r="G78" s="3">
        <f t="shared" si="45"/>
        <v>4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2" x14ac:dyDescent="0.25">
      <c r="A79" s="3" t="str">
        <f>IF((VLOOKUP($A97,UnitListNameToStats,13,FALSE)) = "A.P.C.","Replaced", "A.P.C.")</f>
        <v>A.P.C.</v>
      </c>
      <c r="B79" s="3" t="str">
        <f t="shared" si="40"/>
        <v>Land</v>
      </c>
      <c r="C79" s="3" t="str">
        <f t="shared" si="41"/>
        <v>Armoured Vehicle</v>
      </c>
      <c r="D79" s="3" t="str">
        <f t="shared" si="42"/>
        <v>N/A</v>
      </c>
      <c r="E79" s="3">
        <f t="shared" si="43"/>
        <v>6</v>
      </c>
      <c r="F79" s="3">
        <f t="shared" si="44"/>
        <v>62</v>
      </c>
      <c r="G79" s="3">
        <f t="shared" si="45"/>
        <v>8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2" x14ac:dyDescent="0.25">
      <c r="A80" s="3" t="str">
        <f>IF((VLOOKUP($A97,UnitListNameToStats,13,FALSE)) = "Commandos","Replaced", "Commandos")</f>
        <v>Commandos</v>
      </c>
      <c r="B80" s="3" t="str">
        <f t="shared" si="40"/>
        <v>Land</v>
      </c>
      <c r="C80" s="3" t="str">
        <f t="shared" si="41"/>
        <v>Gunner</v>
      </c>
      <c r="D80" s="3" t="str">
        <f t="shared" si="42"/>
        <v>Stealth : Cannot be seen by non-adjacent Units</v>
      </c>
      <c r="E80" s="3">
        <f t="shared" si="43"/>
        <v>4</v>
      </c>
      <c r="F80" s="3">
        <f t="shared" si="44"/>
        <v>54</v>
      </c>
      <c r="G80" s="3">
        <f t="shared" si="45"/>
        <v>4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2" x14ac:dyDescent="0.25">
      <c r="A81" s="3" t="str">
        <f>IF((VLOOKUP($A97,UnitListNameToStats,13,FALSE)) = "Construction Team","Replaced", "Construction Team")</f>
        <v>Construction Team</v>
      </c>
      <c r="B81" s="3" t="str">
        <f t="shared" si="40"/>
        <v>Land</v>
      </c>
      <c r="C81" s="3" t="str">
        <f t="shared" si="41"/>
        <v>Melee</v>
      </c>
      <c r="D81" s="3" t="str">
        <f t="shared" si="42"/>
        <v>Modern City : City w/ 6 Pop and Industry, + Infrastructure</v>
      </c>
      <c r="E81" s="3">
        <f t="shared" si="43"/>
        <v>1</v>
      </c>
      <c r="F81" s="3">
        <f t="shared" si="44"/>
        <v>48</v>
      </c>
      <c r="G81" s="3">
        <f t="shared" si="45"/>
        <v>4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2" x14ac:dyDescent="0.25">
      <c r="A82" s="3" t="str">
        <f>IF((VLOOKUP($A97,UnitListNameToStats,13,FALSE)) = "Helicopter Gunship","Replaced", "Helicopter Gunship")</f>
        <v>Helicopter Gunship</v>
      </c>
      <c r="B82" s="3" t="str">
        <f t="shared" si="40"/>
        <v>Land</v>
      </c>
      <c r="C82" s="3" t="str">
        <f t="shared" si="41"/>
        <v>Gunship</v>
      </c>
      <c r="D82" s="3" t="str">
        <f t="shared" si="42"/>
        <v>Shatter : Attack Fortification. Removes Dug In</v>
      </c>
      <c r="E82" s="3">
        <f t="shared" si="43"/>
        <v>3</v>
      </c>
      <c r="F82" s="3">
        <f t="shared" si="44"/>
        <v>58</v>
      </c>
      <c r="G82" s="3">
        <f t="shared" si="45"/>
        <v>10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2" x14ac:dyDescent="0.25">
      <c r="A83" s="3" t="str">
        <f>IF((VLOOKUP($A97,UnitListNameToStats,13,FALSE)) = "Main Battle Tank","Replaced", "Main Battle Tank")</f>
        <v>Main Battle Tank</v>
      </c>
      <c r="B83" s="3" t="str">
        <f t="shared" si="40"/>
        <v>Land</v>
      </c>
      <c r="C83" s="3" t="str">
        <f t="shared" si="41"/>
        <v>Armoured Vehicle</v>
      </c>
      <c r="D83" s="3" t="str">
        <f t="shared" si="42"/>
        <v>Armor Piercing : + STR vs Armoured Vehicles / Armoured Vessels</v>
      </c>
      <c r="E83" s="3">
        <f t="shared" si="43"/>
        <v>6</v>
      </c>
      <c r="F83" s="3">
        <f t="shared" si="44"/>
        <v>69</v>
      </c>
      <c r="G83" s="3">
        <f t="shared" si="45"/>
        <v>8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2" x14ac:dyDescent="0.25">
      <c r="A84" s="3" t="str">
        <f>IF((VLOOKUP($A97,UnitListNameToStats,13,FALSE)) = "Medium Tank","Replaced", "Medium Tank")</f>
        <v>Medium Tank</v>
      </c>
      <c r="B84" s="3" t="str">
        <f t="shared" si="40"/>
        <v>Land</v>
      </c>
      <c r="C84" s="3" t="str">
        <f t="shared" si="41"/>
        <v>Armoured Vehicle</v>
      </c>
      <c r="D84" s="3" t="str">
        <f t="shared" si="42"/>
        <v>N/A</v>
      </c>
      <c r="E84" s="3">
        <f t="shared" si="43"/>
        <v>6</v>
      </c>
      <c r="F84" s="3">
        <f t="shared" si="44"/>
        <v>61</v>
      </c>
      <c r="G84" s="3">
        <f t="shared" si="45"/>
        <v>8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2" x14ac:dyDescent="0.25">
      <c r="A85" s="3" t="str">
        <f>IF((VLOOKUP($A97,UnitListNameToStats,13,FALSE)) = "Rifles","Replaced", "Rifles")</f>
        <v>Rifles</v>
      </c>
      <c r="B85" s="3" t="str">
        <f t="shared" si="40"/>
        <v>Land</v>
      </c>
      <c r="C85" s="3" t="str">
        <f t="shared" si="41"/>
        <v>Gunner</v>
      </c>
      <c r="D85" s="3" t="str">
        <f t="shared" si="42"/>
        <v>N/A</v>
      </c>
      <c r="E85" s="3">
        <f t="shared" si="43"/>
        <v>4</v>
      </c>
      <c r="F85" s="3">
        <f t="shared" si="44"/>
        <v>52</v>
      </c>
      <c r="G85" s="3">
        <f t="shared" si="45"/>
        <v>4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2" x14ac:dyDescent="0.25">
      <c r="A86" s="3" t="str">
        <f>IF((VLOOKUP($A97,UnitListNameToStats,13,FALSE)) = "Aircraft Carrier","Replaced", "Aircraft Carrier")</f>
        <v>Aircraft Carrier</v>
      </c>
      <c r="B86" s="3" t="str">
        <f t="shared" si="40"/>
        <v>Sea</v>
      </c>
      <c r="C86" s="3" t="str">
        <f t="shared" si="41"/>
        <v>Aircraft Carrier</v>
      </c>
      <c r="D86" s="3" t="str">
        <f t="shared" si="42"/>
        <v>N/A</v>
      </c>
      <c r="E86" s="3">
        <f t="shared" si="43"/>
        <v>3</v>
      </c>
      <c r="F86" s="3">
        <f t="shared" si="44"/>
        <v>57</v>
      </c>
      <c r="G86" s="3">
        <f t="shared" si="45"/>
        <v>6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2" x14ac:dyDescent="0.25">
      <c r="A87" s="3" t="str">
        <f>IF((VLOOKUP($A97,UnitListNameToStats,13,FALSE)) = "Battleship","Replaced", "Battleship")</f>
        <v>Battleship</v>
      </c>
      <c r="B87" s="3" t="str">
        <f t="shared" si="40"/>
        <v>Sea</v>
      </c>
      <c r="C87" s="3" t="str">
        <f t="shared" si="41"/>
        <v>Armoured Vessel</v>
      </c>
      <c r="D87" s="3" t="str">
        <f t="shared" si="42"/>
        <v>Bombard : Can Attack Districts / Units out of Battle. Removes Dug In</v>
      </c>
      <c r="E87" s="3">
        <f t="shared" si="43"/>
        <v>5</v>
      </c>
      <c r="F87" s="3">
        <f t="shared" si="44"/>
        <v>59</v>
      </c>
      <c r="G87" s="3">
        <f t="shared" si="45"/>
        <v>6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2" x14ac:dyDescent="0.25">
      <c r="A88" s="3" t="str">
        <f>IF((VLOOKUP($A97,UnitListNameToStats,13,FALSE)) = "Landing Craft","Replaced", "Landing Craft")</f>
        <v>Landing Craft</v>
      </c>
      <c r="B88" s="3" t="str">
        <f t="shared" si="40"/>
        <v>Sea</v>
      </c>
      <c r="C88" s="3" t="str">
        <f t="shared" si="41"/>
        <v>Naval Transport</v>
      </c>
      <c r="D88" s="3" t="str">
        <f t="shared" si="42"/>
        <v>Quick Embark : Can Embark and Disembark instantly and attack</v>
      </c>
      <c r="E88" s="3">
        <f t="shared" si="43"/>
        <v>1</v>
      </c>
      <c r="F88" s="3">
        <f t="shared" si="44"/>
        <v>45</v>
      </c>
      <c r="G88" s="3">
        <f t="shared" si="45"/>
        <v>4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2" x14ac:dyDescent="0.25">
      <c r="A89" s="3" t="str">
        <f>IF((VLOOKUP($A97,UnitListNameToStats,13,FALSE)) = "Missile Cruiser","Replaced", "Missile Cruiser")</f>
        <v>Missile Cruiser</v>
      </c>
      <c r="B89" s="3" t="str">
        <f t="shared" si="40"/>
        <v>Sea</v>
      </c>
      <c r="C89" s="3" t="str">
        <f t="shared" si="41"/>
        <v>Armoured Vessel</v>
      </c>
      <c r="D89" s="3" t="str">
        <f t="shared" si="42"/>
        <v>Anti-Aircraft : Provides AA Power</v>
      </c>
      <c r="E89" s="3">
        <f t="shared" si="43"/>
        <v>5</v>
      </c>
      <c r="F89" s="3">
        <f t="shared" si="44"/>
        <v>62</v>
      </c>
      <c r="G89" s="3">
        <f t="shared" si="45"/>
        <v>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2" x14ac:dyDescent="0.25">
      <c r="A90" s="3" t="str">
        <f>IF((VLOOKUP($A97,UnitListNameToStats,13,FALSE)) = "Nuclear Submarine","Replaced", "Nuclear Submarine")</f>
        <v>Nuclear Submarine</v>
      </c>
      <c r="B90" s="3" t="str">
        <f t="shared" si="40"/>
        <v>Sea</v>
      </c>
      <c r="C90" s="3" t="str">
        <f t="shared" si="41"/>
        <v>Torpedo Vessel</v>
      </c>
      <c r="D90" s="3" t="str">
        <f t="shared" si="42"/>
        <v>Stealth : Cannot be seen by non-adjacent Units</v>
      </c>
      <c r="E90" s="3">
        <f t="shared" si="43"/>
        <v>3</v>
      </c>
      <c r="F90" s="3">
        <f t="shared" si="44"/>
        <v>55</v>
      </c>
      <c r="G90" s="3" t="str">
        <f t="shared" si="45"/>
        <v>10 (?)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2" x14ac:dyDescent="0.25">
      <c r="A91" s="3" t="str">
        <f>IF((VLOOKUP($A97,UnitListNameToStats,13,FALSE)) = "Cruise Missile","Replaced", "Cruise Missile")</f>
        <v>Cruise Missile</v>
      </c>
      <c r="B91" s="3" t="str">
        <f t="shared" si="40"/>
        <v>Air</v>
      </c>
      <c r="C91" s="3" t="str">
        <f t="shared" si="41"/>
        <v>Missile</v>
      </c>
      <c r="D91" s="3" t="str">
        <f t="shared" si="42"/>
        <v>N/A</v>
      </c>
      <c r="E91" s="3">
        <f t="shared" si="43"/>
        <v>14</v>
      </c>
      <c r="F91" s="3">
        <f t="shared" si="44"/>
        <v>62</v>
      </c>
      <c r="G91" s="3">
        <f t="shared" si="45"/>
        <v>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2" x14ac:dyDescent="0.25">
      <c r="A92" s="3" t="str">
        <f>IF((VLOOKUP($A97,UnitListNameToStats,13,FALSE)) = "Monoplane Fighter","Replaced", "Monoplane Fighter")</f>
        <v>Monoplane Fighter</v>
      </c>
      <c r="B92" s="3" t="str">
        <f t="shared" si="40"/>
        <v>Air</v>
      </c>
      <c r="C92" s="3" t="str">
        <f t="shared" si="41"/>
        <v>Fighter</v>
      </c>
      <c r="D92" s="3" t="str">
        <f t="shared" si="42"/>
        <v>N/A</v>
      </c>
      <c r="E92" s="3">
        <f t="shared" si="43"/>
        <v>16</v>
      </c>
      <c r="F92" s="3">
        <f t="shared" si="44"/>
        <v>55</v>
      </c>
      <c r="G92" s="3">
        <f t="shared" si="45"/>
        <v>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2" x14ac:dyDescent="0.25">
      <c r="A93" s="3" t="str">
        <f>IF((VLOOKUP($A97,UnitListNameToStats,13,FALSE)) = "Multirole Fighter","Replaced", "Multirole Fighter")</f>
        <v>Multirole Fighter</v>
      </c>
      <c r="B93" s="3" t="str">
        <f t="shared" si="40"/>
        <v>Air</v>
      </c>
      <c r="C93" s="3" t="str">
        <f t="shared" si="41"/>
        <v>Multi Role Aircraft</v>
      </c>
      <c r="D93" s="3" t="str">
        <f t="shared" si="42"/>
        <v>N/A</v>
      </c>
      <c r="E93" s="3">
        <f t="shared" si="43"/>
        <v>20</v>
      </c>
      <c r="F93" s="3">
        <f t="shared" si="44"/>
        <v>63</v>
      </c>
      <c r="G93" s="3">
        <f t="shared" si="45"/>
        <v>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2" x14ac:dyDescent="0.25">
      <c r="A94" s="3" t="str">
        <f>IF((VLOOKUP($A97,UnitListNameToStats,13,FALSE)) = "Nuclear Missile","Replaced", "Nuclear Missile")</f>
        <v>Nuclear Missile</v>
      </c>
      <c r="B94" s="3" t="str">
        <f t="shared" si="40"/>
        <v>Air</v>
      </c>
      <c r="C94" s="3" t="str">
        <f t="shared" si="41"/>
        <v>Missile</v>
      </c>
      <c r="D94" s="3" t="str">
        <f t="shared" si="42"/>
        <v>Nuclear Device : Detonates 1 Turn after Launch, causes Fallout</v>
      </c>
      <c r="E94" s="3">
        <f t="shared" si="43"/>
        <v>14</v>
      </c>
      <c r="F94" s="3">
        <f t="shared" si="44"/>
        <v>80</v>
      </c>
      <c r="G94" s="3">
        <f t="shared" si="45"/>
        <v>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2" x14ac:dyDescent="0.25">
      <c r="A95" s="3" t="str">
        <f>IF((VLOOKUP($A97,UnitListNameToStats,13,FALSE)) = "Strategic Bomber","Replaced", "Strategic Bomber")</f>
        <v>Strategic Bomber</v>
      </c>
      <c r="B95" s="3" t="str">
        <f t="shared" si="40"/>
        <v>Air</v>
      </c>
      <c r="C95" s="3" t="str">
        <f t="shared" si="41"/>
        <v>Bomber</v>
      </c>
      <c r="D95" s="3" t="str">
        <f t="shared" si="42"/>
        <v>N/A</v>
      </c>
      <c r="E95" s="3">
        <f t="shared" si="43"/>
        <v>16</v>
      </c>
      <c r="F95" s="3">
        <f t="shared" si="44"/>
        <v>57</v>
      </c>
      <c r="G95" s="3">
        <f t="shared" si="45"/>
        <v>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3.2" x14ac:dyDescent="0.25">
      <c r="A96" s="3" t="str">
        <f>IF((VLOOKUP($A97,UnitListNameToStats,13,FALSE)) = "Thermonuclear Missile","Replaced", "Thermonuclear Missile")</f>
        <v>Thermonuclear Missile</v>
      </c>
      <c r="B96" s="3" t="str">
        <f t="shared" si="40"/>
        <v>Air</v>
      </c>
      <c r="C96" s="3" t="str">
        <f t="shared" si="41"/>
        <v>Missile</v>
      </c>
      <c r="D96" s="3" t="str">
        <f t="shared" si="42"/>
        <v>Nuclear Device : Detonates 1 Turn after Launch, causes Fallout</v>
      </c>
      <c r="E96" s="3">
        <f t="shared" si="43"/>
        <v>14</v>
      </c>
      <c r="F96" s="3">
        <f t="shared" si="44"/>
        <v>100</v>
      </c>
      <c r="G96" s="3">
        <f t="shared" si="45"/>
        <v>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3.2" x14ac:dyDescent="0.25">
      <c r="A97" s="10" t="str">
        <f>VLOOKUP(B8, UnitListCultureName, 2, FALSE)</f>
        <v>All Terrain PMV</v>
      </c>
      <c r="B97" s="10" t="str">
        <f t="shared" si="40"/>
        <v>Land</v>
      </c>
      <c r="C97" s="10" t="str">
        <f t="shared" si="41"/>
        <v>Armoured Vehicle</v>
      </c>
      <c r="D97" s="10" t="str">
        <f t="shared" si="42"/>
        <v>All-Terrain : Ignores Terrain Movement Penalties</v>
      </c>
      <c r="E97" s="10">
        <f t="shared" si="43"/>
        <v>4</v>
      </c>
      <c r="F97" s="10">
        <f t="shared" si="44"/>
        <v>64</v>
      </c>
      <c r="G97" s="10">
        <f t="shared" si="45"/>
        <v>8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3.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3.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3.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3.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3.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3.2" x14ac:dyDescent="0.25">
      <c r="A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3.2" x14ac:dyDescent="0.25">
      <c r="A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3.2" x14ac:dyDescent="0.25">
      <c r="A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3.2" x14ac:dyDescent="0.25">
      <c r="A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3.2" x14ac:dyDescent="0.25">
      <c r="A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3.2" x14ac:dyDescent="0.25">
      <c r="A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3.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3.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3.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3.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3.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3.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3.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3.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3.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3.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3.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3.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3.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3.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3.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3.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3.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3.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3.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3.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3.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3.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3.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3.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3.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3.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3.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3.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3.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3.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3.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3.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3.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3.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3.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3.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3.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3.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3.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3.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3.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3.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3.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3.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3.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3.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3.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3.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3.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3.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3.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3.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3.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3.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3.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3.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3.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3.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3.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3.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3.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3.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3.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3.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3.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3.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3.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3.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3.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3.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3.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3.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3.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3.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3.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3.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3.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3.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3.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3.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3.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3.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3.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3.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3.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3.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3.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3.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3.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3.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3.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3.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3.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3.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3.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3.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3.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3.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3.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3.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3.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3.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3.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3.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3.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3.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3.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3.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3.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3.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3.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3.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3.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3.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3.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3.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3.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3.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3.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3.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3.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3.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3.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3.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3.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3.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3.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3.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3.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3.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3.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3.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3.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3.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3.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3.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3.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3.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3.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3.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3.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3.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3.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3.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3.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3.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3.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3.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3.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3.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3.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3.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3.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3.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3.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3.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3.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3.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3.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3.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3.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3.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3.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3.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3.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3.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3.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3.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3.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3.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3.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3.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3.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3.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3.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3.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3.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3.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3.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3.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3.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3.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3.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3.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3.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3.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3.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3.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3.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3.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3.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3.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3.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3.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3.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3.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3.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3.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3.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3.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3.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3.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3.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3.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3.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3.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3.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3.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3.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3.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3.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3.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3.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3.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3.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3.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3.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3.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3.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3.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3.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3.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3.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3.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3.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3.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3.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3.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3.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3.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3.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3.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3.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3.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3.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3.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3.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3.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3.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3.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3.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3.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3.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3.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3.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3.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3.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3.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3.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3.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3.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3.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3.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3.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3.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3.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3.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3.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3.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3.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3.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3.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3.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3.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3.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3.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3.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3.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3.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3.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3.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3.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3.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3.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3.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3.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3.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3.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3.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3.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3.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3.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3.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3.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3.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3.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3.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3.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3.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3.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3.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3.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3.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3.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3.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3.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3.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3.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3.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3.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3.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3.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3.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3.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3.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3.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3.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3.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3.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3.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3.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3.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3.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3.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3.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3.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3.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3.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3.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3.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3.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3.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3.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3.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3.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3.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3.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3.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3.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3.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3.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3.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3.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3.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3.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3.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3.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3.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3.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3.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3.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3.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3.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3.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3.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3.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3.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3.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3.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3.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3.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3.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3.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3.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3.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3.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3.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3.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3.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3.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3.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3.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3.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3.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3.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3.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3.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3.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3.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3.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3.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3.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3.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3.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3.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3.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3.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3.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3.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3.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3.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3.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3.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3.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3.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3.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3.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3.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3.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3.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3.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3.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3.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3.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3.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3.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3.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3.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3.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3.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3.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3.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3.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3.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3.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3.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3.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3.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3.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3.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3.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3.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3.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3.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3.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3.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3.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3.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3.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3.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3.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3.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3.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3.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3.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3.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3.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3.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3.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3.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3.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3.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3.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3.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3.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3.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3.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3.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3.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3.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3.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3.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3.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3.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3.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3.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3.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3.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3.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3.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3.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3.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3.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3.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3.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3.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3.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3.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3.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3.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3.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3.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3.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3.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3.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3.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3.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3.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3.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3.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3.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3.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3.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3.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3.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3.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3.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3.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3.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3.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3.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3.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3.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3.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3.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3.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3.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3.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3.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3.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3.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3.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3.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3.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3.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3.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3.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3.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3.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3.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3.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3.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3.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3.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3.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3.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3.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3.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3.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3.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3.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3.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3.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3.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3.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3.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3.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3.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3.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3.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3.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3.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3.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3.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3.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3.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3.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3.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3.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3.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3.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3.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3.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3.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3.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3.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3.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3.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3.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3.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3.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3.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3.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3.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3.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3.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3.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3.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3.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3.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3.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3.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3.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3.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3.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3.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3.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3.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3.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3.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3.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3.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3.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3.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3.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3.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3.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3.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3.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3.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3.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3.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3.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3.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3.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3.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3.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3.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3.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3.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3.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3.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3.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3.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3.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3.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3.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3.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3.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3.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3.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3.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3.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3.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3.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3.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3.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3.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3.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3.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3.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3.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3.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3.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3.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3.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3.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3.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3.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3.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3.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3.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3.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3.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3.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3.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3.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3.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3.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3.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3.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3.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3.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3.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3.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3.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3.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3.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3.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3.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3.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3.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3.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3.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3.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3.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3.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3.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3.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3.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3.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3.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3.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3.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3.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3.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3.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3.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3.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3.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3.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3.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3.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3.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3.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3.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3.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3.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3.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3.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3.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3.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3.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3.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3.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3.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3.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3.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3.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3.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3.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3.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3.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3.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3.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3.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3.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3.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3.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3.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3.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3.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3.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3.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3.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3.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3.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3.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3.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3.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3.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3.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3.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3.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3.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3.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3.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3.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3.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3.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3.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3.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3.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3.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3.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3.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3.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3.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3.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3.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3.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3.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3.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3.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3.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3.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3.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3.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3.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3.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3.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3.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3.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3.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3.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3.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3.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3.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3.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3.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3.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3.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3.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3.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3.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3.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3.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3.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3.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3.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3.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3.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3.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3.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3.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3.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3.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3.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3.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3.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3.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3.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3.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3.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3.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3.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3.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3.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3.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3.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3.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3.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3.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3.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3.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3.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3.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3.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3.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3.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3.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3.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3.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3.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3.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3.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3.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3.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3.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3.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3.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3.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3.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3.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3.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3.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3.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3.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3.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3.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3.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3.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3.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3.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3.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3.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3.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3.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3.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3.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3.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3.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3.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3.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3.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3.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3.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3.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3.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3.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3.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3.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3.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3.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3.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3.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3.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3.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3.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3.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3.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3.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3.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3.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3.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3.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3.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3.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3.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3.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3.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3.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3.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3.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3.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3.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3.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3.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3.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3.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3.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3.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3.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3.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3.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3.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3.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3.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3.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3.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3.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3.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3.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3.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3.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3.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3.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3.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3.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3.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3.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3.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3.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3.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3.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3.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3.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3.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3.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3.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3.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3.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3.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3.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3.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3.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3.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3.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3.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3.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3.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3.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3.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3.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3.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3.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3.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3.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3.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3.2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3.2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</sheetData>
  <conditionalFormatting sqref="C4:C8">
    <cfRule type="cellIs" dxfId="13" priority="8" stopIfTrue="1" operator="equal">
      <formula>"Builder"</formula>
    </cfRule>
    <cfRule type="cellIs" dxfId="12" priority="9" stopIfTrue="1" operator="equal">
      <formula>"Agrarian"</formula>
    </cfRule>
    <cfRule type="cellIs" dxfId="11" priority="10" stopIfTrue="1" operator="equal">
      <formula>"Expansionist"</formula>
    </cfRule>
    <cfRule type="cellIs" dxfId="10" priority="11" stopIfTrue="1" operator="equal">
      <formula>"Militarist"</formula>
    </cfRule>
    <cfRule type="cellIs" dxfId="9" priority="12" stopIfTrue="1" operator="equal">
      <formula>"Aesthete"</formula>
    </cfRule>
    <cfRule type="cellIs" dxfId="8" priority="13" stopIfTrue="1" operator="equal">
      <formula>"Merchant"</formula>
    </cfRule>
    <cfRule type="cellIs" dxfId="7" priority="14" stopIfTrue="1" operator="equal">
      <formula>"Scientist"</formula>
    </cfRule>
  </conditionalFormatting>
  <conditionalFormatting sqref="C3">
    <cfRule type="cellIs" dxfId="6" priority="1" stopIfTrue="1" operator="equal">
      <formula>"Builder"</formula>
    </cfRule>
    <cfRule type="cellIs" dxfId="5" priority="2" stopIfTrue="1" operator="equal">
      <formula>"Agrarian"</formula>
    </cfRule>
    <cfRule type="cellIs" dxfId="4" priority="3" stopIfTrue="1" operator="equal">
      <formula>"Expansionist"</formula>
    </cfRule>
    <cfRule type="cellIs" dxfId="3" priority="4" stopIfTrue="1" operator="equal">
      <formula>"Militarist"</formula>
    </cfRule>
    <cfRule type="cellIs" dxfId="2" priority="5" stopIfTrue="1" operator="equal">
      <formula>"Aesthete"</formula>
    </cfRule>
    <cfRule type="cellIs" dxfId="1" priority="6" stopIfTrue="1" operator="equal">
      <formula>"Merchant"</formula>
    </cfRule>
    <cfRule type="cellIs" dxfId="0" priority="7" stopIfTrue="1" operator="equal">
      <formula>"Scientist"</formula>
    </cfRule>
  </conditionalFormatting>
  <dataValidations count="6">
    <dataValidation type="list" allowBlank="1" sqref="B6" xr:uid="{00000000-0002-0000-0300-000000000000}">
      <formula1>CultureListEarlyModern</formula1>
    </dataValidation>
    <dataValidation type="list" allowBlank="1" sqref="B3" xr:uid="{00000000-0002-0000-0300-000001000000}">
      <formula1>CultureListAncient</formula1>
    </dataValidation>
    <dataValidation type="list" allowBlank="1" sqref="B5" xr:uid="{00000000-0002-0000-0300-000002000000}">
      <formula1>CultureListMedieval</formula1>
    </dataValidation>
    <dataValidation type="list" allowBlank="1" sqref="B8" xr:uid="{00000000-0002-0000-0300-000003000000}">
      <formula1>CultureListContemporary</formula1>
    </dataValidation>
    <dataValidation type="list" allowBlank="1" sqref="B4" xr:uid="{00000000-0002-0000-0300-000004000000}">
      <formula1>CultureListClassical</formula1>
    </dataValidation>
    <dataValidation type="list" allowBlank="1" sqref="B7" xr:uid="{00000000-0002-0000-0300-000005000000}">
      <formula1>CultureListIndustrial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39</vt:i4>
      </vt:variant>
    </vt:vector>
  </HeadingPairs>
  <TitlesOfParts>
    <vt:vector size="45" baseType="lpstr">
      <vt:lpstr>Cover</vt:lpstr>
      <vt:lpstr>Units</vt:lpstr>
      <vt:lpstr>Cultures</vt:lpstr>
      <vt:lpstr>Build</vt:lpstr>
      <vt:lpstr>Misc</vt:lpstr>
      <vt:lpstr>BuildEx</vt:lpstr>
      <vt:lpstr>Aff_1_Ancient</vt:lpstr>
      <vt:lpstr>Aff_2_Classical</vt:lpstr>
      <vt:lpstr>Aff_3_Medieval</vt:lpstr>
      <vt:lpstr>Aff_4_Early_Modern</vt:lpstr>
      <vt:lpstr>Aff_5_Industrial</vt:lpstr>
      <vt:lpstr>Aff_6_Contemporary</vt:lpstr>
      <vt:lpstr>Affinity</vt:lpstr>
      <vt:lpstr>CultureListAffinities</vt:lpstr>
      <vt:lpstr>CultureListAncient</vt:lpstr>
      <vt:lpstr>CultureListClassical</vt:lpstr>
      <vt:lpstr>CultureListContemporary</vt:lpstr>
      <vt:lpstr>CultureListEarlyModern</vt:lpstr>
      <vt:lpstr>CultureListEras</vt:lpstr>
      <vt:lpstr>CultureListIndustrial</vt:lpstr>
      <vt:lpstr>CultureListMedieval</vt:lpstr>
      <vt:lpstr>CultureListNameAffinities</vt:lpstr>
      <vt:lpstr>CultureListNameBonus</vt:lpstr>
      <vt:lpstr>CultureListNames</vt:lpstr>
      <vt:lpstr>Era</vt:lpstr>
      <vt:lpstr>Fam_1_Ancient</vt:lpstr>
      <vt:lpstr>Fam_2_Classical</vt:lpstr>
      <vt:lpstr>Fam_3_Medieval</vt:lpstr>
      <vt:lpstr>Fam_4_Early_Modern</vt:lpstr>
      <vt:lpstr>Fam_5_Industrial</vt:lpstr>
      <vt:lpstr>Fam_6_Contemporary</vt:lpstr>
      <vt:lpstr>My_0_Nomadic</vt:lpstr>
      <vt:lpstr>My_1_Ancient</vt:lpstr>
      <vt:lpstr>My_2_Classical</vt:lpstr>
      <vt:lpstr>My_3_Medieval</vt:lpstr>
      <vt:lpstr>My_4_Early_Modern</vt:lpstr>
      <vt:lpstr>My_5_Industrial</vt:lpstr>
      <vt:lpstr>My_6_Contemporary</vt:lpstr>
      <vt:lpstr>MyBuild</vt:lpstr>
      <vt:lpstr>UnitCulture</vt:lpstr>
      <vt:lpstr>UnitListClasses</vt:lpstr>
      <vt:lpstr>UnitListCultureName</vt:lpstr>
      <vt:lpstr>UnitListMainClass</vt:lpstr>
      <vt:lpstr>UnitListMoveType</vt:lpstr>
      <vt:lpstr>UnitListNameToStats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Zardozardoz</cp:lastModifiedBy>
  <dcterms:created xsi:type="dcterms:W3CDTF">2021-09-13T05:40:21Z</dcterms:created>
  <dcterms:modified xsi:type="dcterms:W3CDTF">2021-12-05T20:16:53Z</dcterms:modified>
</cp:coreProperties>
</file>